
<file path=[Content_Types].xml><?xml version="1.0" encoding="utf-8"?>
<Types xmlns="http://schemas.openxmlformats.org/package/2006/content-types">
  <Override PartName="/docProps/app.xml" ContentType="application/vnd.openxmlformats-officedocument.extended-properties+xml"/>
  <Override PartName="/xl/sharedStrings.xml" ContentType="application/vnd.openxmlformats-officedocument.spreadsheetml.sharedString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externalLinks/externalLink1.xml" ContentType="application/vnd.openxmlformats-officedocument.spreadsheetml.externalLink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comments1.xml" ContentType="application/vnd.openxmlformats-officedocument.spreadsheetml.comments+xml"/>
  <Default Extension="png" ContentType="image/png"/>
  <Override PartName="/xl/calcChain.xml" ContentType="application/vnd.openxmlformats-officedocument.spreadsheetml.calcChain+xml"/>
  <Default Extension="rels" ContentType="application/vnd.openxmlformats-package.relationships+xml"/>
  <Default Extension="jpeg" ContentType="image/jpeg"/>
  <Override PartName="/xl/drawings/drawing1.xml" ContentType="application/vnd.openxmlformats-officedocument.drawing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ate1904="1" showInkAnnotation="0" autoCompressPictures="0"/>
  <bookViews>
    <workbookView xWindow="720" yWindow="720" windowWidth="33660" windowHeight="20320" tabRatio="500"/>
  </bookViews>
  <sheets>
    <sheet name="Sheet1" sheetId="1" r:id="rId1"/>
  </sheets>
  <externalReferences>
    <externalReference r:id="rId2"/>
  </externalReferences>
  <definedNames>
    <definedName name="AdminSet">Sheet1!$R$3</definedName>
    <definedName name="AdminSetPosition">Sheet1!$R$17</definedName>
    <definedName name="AnyErrorMessages">[1]Lists!$AB$19</definedName>
    <definedName name="Country_Region">Sheet1!$R$21</definedName>
    <definedName name="FirstWarnings">Sheet1!$R$22</definedName>
    <definedName name="FlowRate">Sheet1!$R$7</definedName>
    <definedName name="Infuset">Sheet1!$R$5</definedName>
    <definedName name="NeedleGauge">Sheet1!$R$10</definedName>
    <definedName name="NeedleSet">Sheet1!$R$8</definedName>
    <definedName name="Pump">Sheet1!$R$2</definedName>
    <definedName name="QtyNeedles">Sheet1!$R$9</definedName>
  </definedNames>
  <calcPr calcId="130406"/>
  <extLst>
    <ext xmlns:mx="http://schemas.microsoft.com/office/mac/excel/2008/main" uri="http://schemas.microsoft.com/office/mac/excel/2008/main">
      <mx:ArchID Flags="2"/>
    </ext>
  </extLst>
</workbook>
</file>

<file path=xl/calcChain.xml><?xml version="1.0" encoding="utf-8"?>
<calcChain xmlns="http://schemas.openxmlformats.org/spreadsheetml/2006/main">
  <c r="M95" i="1"/>
  <c r="L95"/>
  <c r="K95"/>
  <c r="J95"/>
  <c r="I95"/>
  <c r="H95"/>
  <c r="G95"/>
  <c r="M88"/>
  <c r="L88"/>
  <c r="K88"/>
  <c r="M86"/>
  <c r="L86"/>
  <c r="K86"/>
  <c r="M84"/>
  <c r="L84"/>
  <c r="M82"/>
  <c r="L82"/>
  <c r="L81"/>
  <c r="K81"/>
  <c r="J81"/>
  <c r="M78"/>
  <c r="M79"/>
  <c r="L78"/>
  <c r="L79"/>
  <c r="M77"/>
  <c r="L77"/>
  <c r="M76"/>
  <c r="L76"/>
  <c r="M75"/>
  <c r="L75"/>
  <c r="M73"/>
  <c r="L73"/>
  <c r="L72"/>
  <c r="K72"/>
  <c r="J72"/>
  <c r="L71"/>
  <c r="K71"/>
  <c r="J71"/>
  <c r="M69"/>
  <c r="L69"/>
  <c r="M68"/>
  <c r="L68"/>
  <c r="M67"/>
  <c r="L67"/>
  <c r="M65"/>
  <c r="L65"/>
  <c r="L64"/>
  <c r="K64"/>
  <c r="J64"/>
  <c r="I64"/>
  <c r="M61"/>
  <c r="M62"/>
  <c r="L61"/>
  <c r="L62"/>
  <c r="M60"/>
  <c r="L60"/>
  <c r="M59"/>
  <c r="L59"/>
  <c r="M57"/>
  <c r="L57"/>
  <c r="M56"/>
  <c r="L56"/>
  <c r="J55"/>
  <c r="I55"/>
  <c r="H55"/>
  <c r="G55"/>
  <c r="J54"/>
  <c r="I54"/>
  <c r="H54"/>
  <c r="G54"/>
  <c r="J53"/>
  <c r="I53"/>
  <c r="H53"/>
  <c r="G53"/>
  <c r="M51"/>
  <c r="K51"/>
  <c r="J51"/>
  <c r="M50"/>
  <c r="K50"/>
  <c r="J50"/>
  <c r="M48"/>
  <c r="K48"/>
  <c r="J48"/>
  <c r="M47"/>
  <c r="K47"/>
  <c r="J47"/>
  <c r="L46"/>
  <c r="K46"/>
  <c r="J46"/>
  <c r="M44"/>
  <c r="M45"/>
  <c r="L44"/>
  <c r="L45"/>
  <c r="K44"/>
  <c r="K45"/>
  <c r="M43"/>
  <c r="L43"/>
  <c r="K43"/>
  <c r="L42"/>
  <c r="J42"/>
  <c r="M40"/>
  <c r="M41"/>
  <c r="L40"/>
  <c r="L41"/>
  <c r="M39"/>
  <c r="L39"/>
  <c r="L37"/>
  <c r="L38"/>
  <c r="K37"/>
  <c r="K38"/>
  <c r="J37"/>
  <c r="J38"/>
  <c r="M31"/>
  <c r="M35"/>
  <c r="M36"/>
  <c r="L31"/>
  <c r="L35"/>
  <c r="L36"/>
  <c r="R17"/>
  <c r="R29"/>
  <c r="R30"/>
  <c r="R31"/>
  <c r="R32"/>
  <c r="R33"/>
  <c r="L15"/>
  <c r="R34"/>
  <c r="S29"/>
  <c r="M15"/>
  <c r="R35"/>
  <c r="S30"/>
  <c r="S31"/>
  <c r="S32"/>
  <c r="S33"/>
  <c r="S34"/>
  <c r="S35"/>
  <c r="T35"/>
  <c r="T34"/>
  <c r="M34"/>
  <c r="L34"/>
  <c r="T33"/>
  <c r="M33"/>
  <c r="L33"/>
  <c r="T32"/>
  <c r="M32"/>
  <c r="L32"/>
  <c r="T31"/>
  <c r="T30"/>
  <c r="M30"/>
  <c r="L30"/>
  <c r="T29"/>
  <c r="L27"/>
  <c r="L29"/>
  <c r="K27"/>
  <c r="K29"/>
  <c r="J27"/>
  <c r="J29"/>
  <c r="L28"/>
  <c r="K28"/>
  <c r="J28"/>
  <c r="M23"/>
  <c r="M26"/>
  <c r="L23"/>
  <c r="L26"/>
  <c r="M25"/>
  <c r="L25"/>
  <c r="M24"/>
  <c r="L24"/>
  <c r="M22"/>
  <c r="L22"/>
  <c r="L20"/>
  <c r="L21"/>
  <c r="K20"/>
  <c r="K21"/>
  <c r="J20"/>
  <c r="J21"/>
  <c r="I20"/>
  <c r="I21"/>
  <c r="M18"/>
  <c r="M19"/>
  <c r="L18"/>
  <c r="L19"/>
  <c r="M17"/>
  <c r="L17"/>
  <c r="M16"/>
  <c r="L16"/>
  <c r="R11"/>
  <c r="R7"/>
  <c r="AB14"/>
  <c r="Z14"/>
  <c r="R14"/>
  <c r="M14"/>
  <c r="L14"/>
  <c r="R13"/>
  <c r="M13"/>
  <c r="L13"/>
  <c r="J9"/>
  <c r="J12"/>
  <c r="I9"/>
  <c r="I12"/>
  <c r="H9"/>
  <c r="H12"/>
  <c r="G9"/>
  <c r="G12"/>
  <c r="R9"/>
  <c r="Z10"/>
  <c r="W10"/>
  <c r="V10"/>
  <c r="AC11"/>
  <c r="J11"/>
  <c r="I11"/>
  <c r="H11"/>
  <c r="G11"/>
  <c r="J10"/>
  <c r="I10"/>
  <c r="H10"/>
  <c r="G10"/>
  <c r="Z4"/>
  <c r="Z7"/>
  <c r="W7"/>
  <c r="V7"/>
  <c r="AC8"/>
  <c r="M6"/>
  <c r="M8"/>
  <c r="K6"/>
  <c r="K8"/>
  <c r="J6"/>
  <c r="J8"/>
  <c r="M7"/>
  <c r="K7"/>
  <c r="J7"/>
  <c r="V4"/>
  <c r="Z5"/>
  <c r="M5"/>
  <c r="K5"/>
  <c r="J5"/>
  <c r="R4"/>
  <c r="M4"/>
  <c r="K4"/>
  <c r="J4"/>
  <c r="T3"/>
</calcChain>
</file>

<file path=xl/comments1.xml><?xml version="1.0" encoding="utf-8"?>
<comments xmlns="http://schemas.openxmlformats.org/spreadsheetml/2006/main">
  <authors>
    <author>eng01</author>
  </authors>
  <commentList>
    <comment ref="Q13" authorId="0">
      <text>
        <r>
          <rPr>
            <b/>
            <sz val="9"/>
            <color indexed="81"/>
            <rFont val="Tahoma"/>
            <family val="2"/>
          </rPr>
          <t>These two indices represent numbers from 1-6 for each Infuset listed. Used to populate the Infuset dropdown box with only the Infusets that are available for a selected Admin Set.</t>
        </r>
      </text>
    </comment>
    <comment ref="Q17" authorId="0">
      <text>
        <r>
          <rPr>
            <b/>
            <sz val="9"/>
            <color indexed="81"/>
            <rFont val="Tahoma"/>
            <family val="2"/>
          </rPr>
          <t>This is the relative row position of the admin set in either the 24ga or 27ga columns</t>
        </r>
      </text>
    </comment>
  </commentList>
</comments>
</file>

<file path=xl/sharedStrings.xml><?xml version="1.0" encoding="utf-8"?>
<sst xmlns="http://schemas.openxmlformats.org/spreadsheetml/2006/main" count="250" uniqueCount="111">
  <si>
    <t>Hizentra®</t>
  </si>
  <si>
    <t>Drug:</t>
  </si>
  <si>
    <t>Hizentra</t>
  </si>
  <si>
    <t>Infusion &amp; Volume Limits</t>
  </si>
  <si>
    <t>Administration Set</t>
  </si>
  <si>
    <t>Infuset</t>
  </si>
  <si>
    <t>Pump:</t>
  </si>
  <si>
    <t>SCIg60 Infuser</t>
  </si>
  <si>
    <t>Initial</t>
  </si>
  <si>
    <t>Subsequent</t>
  </si>
  <si>
    <t>Pump</t>
  </si>
  <si>
    <t>Needle Qty</t>
  </si>
  <si>
    <t>24 ga</t>
  </si>
  <si>
    <t>27 ga</t>
  </si>
  <si>
    <t>Needle Length (mm)</t>
  </si>
  <si>
    <t>Infuset-190</t>
  </si>
  <si>
    <t>Infuset-290</t>
  </si>
  <si>
    <t>Infuset-430</t>
  </si>
  <si>
    <t>Infuset-650</t>
  </si>
  <si>
    <t>Infuset-820</t>
  </si>
  <si>
    <t>Infuset-930</t>
  </si>
  <si>
    <t>Infuset-1850</t>
  </si>
  <si>
    <t>Lookup Set:</t>
  </si>
  <si>
    <t>SUB-260</t>
  </si>
  <si>
    <t>Needle Length:</t>
  </si>
  <si>
    <t>Total Flow Rate</t>
  </si>
  <si>
    <t>FREEDOM60®</t>
  </si>
  <si>
    <t>1-27 ga</t>
  </si>
  <si>
    <t>SUB-104-G27</t>
  </si>
  <si>
    <t>Default Set:</t>
  </si>
  <si>
    <t>ml/hr</t>
  </si>
  <si>
    <t>SUB-106-G27</t>
  </si>
  <si>
    <t>Selected Infuset:</t>
  </si>
  <si>
    <t>SUB-109-G27</t>
  </si>
  <si>
    <t>VersaRate Position:</t>
  </si>
  <si>
    <t>Flow Rate Per Site</t>
  </si>
  <si>
    <t>SAF-Q-106-G27</t>
  </si>
  <si>
    <t>Flow Rate:</t>
  </si>
  <si>
    <t>SAF-Q-109-G27</t>
  </si>
  <si>
    <t>Needle Set:</t>
  </si>
  <si>
    <t>2 Needles</t>
  </si>
  <si>
    <t>1-24 ga</t>
  </si>
  <si>
    <t>SUB-109-G24</t>
  </si>
  <si>
    <t>Qty Needles:</t>
  </si>
  <si>
    <t>Dosage Volume Per Site</t>
  </si>
  <si>
    <t>SUB-112-G24</t>
  </si>
  <si>
    <t>Needle Gauge:</t>
  </si>
  <si>
    <t>ml</t>
  </si>
  <si>
    <t>SAF-Q-106-G24</t>
  </si>
  <si>
    <t>Dosage Volume:</t>
  </si>
  <si>
    <t>SAF-Q-109-G24</t>
  </si>
  <si>
    <t>(Linked cell for dosage volume):</t>
  </si>
  <si>
    <t>30</t>
  </si>
  <si>
    <t>2-27 ga</t>
  </si>
  <si>
    <t>SUB-204-G27</t>
  </si>
  <si>
    <t>Infuset Start Index:</t>
  </si>
  <si>
    <t>Infusion Time</t>
  </si>
  <si>
    <t>SUB-250</t>
  </si>
  <si>
    <t>Infuset End Index:</t>
  </si>
  <si>
    <t>hrs</t>
  </si>
  <si>
    <t>min</t>
  </si>
  <si>
    <t>SUB-212-G27</t>
  </si>
  <si>
    <t>Needle Length Factor:</t>
  </si>
  <si>
    <t>per mm from baseline of</t>
  </si>
  <si>
    <t>mm</t>
  </si>
  <si>
    <t>SAF-Q-206-G27</t>
  </si>
  <si>
    <t>Admin Set Position:</t>
  </si>
  <si>
    <t>SAF-Q-209-G27</t>
  </si>
  <si>
    <t>SAF-Q-212-G27</t>
  </si>
  <si>
    <t>2-24 ga</t>
  </si>
  <si>
    <t>SUB-209-G24</t>
  </si>
  <si>
    <t>SUB-212-G24</t>
  </si>
  <si>
    <t>Country/Region:</t>
  </si>
  <si>
    <t>USA</t>
  </si>
  <si>
    <t>3-27 ga</t>
  </si>
  <si>
    <t>SUB-310</t>
  </si>
  <si>
    <t>Include First Infusion Warnings:</t>
  </si>
  <si>
    <t>SUB-320</t>
  </si>
  <si>
    <t>SUB-312-G27</t>
  </si>
  <si>
    <t>SAF-Q-306-G27</t>
  </si>
  <si>
    <t>SAF-Q-309-G27</t>
  </si>
  <si>
    <t>3-24 ga</t>
  </si>
  <si>
    <t>SUB-309-G24</t>
  </si>
  <si>
    <t>SUB-312-G24</t>
  </si>
  <si>
    <t>SAF-Q-309-G24</t>
  </si>
  <si>
    <t>4-27 ga</t>
  </si>
  <si>
    <t>SUB-400</t>
  </si>
  <si>
    <t>SUB-410</t>
  </si>
  <si>
    <t>SUB-412-G27</t>
  </si>
  <si>
    <t>SUB-414-G27</t>
  </si>
  <si>
    <t>SAF-Q-406-G27</t>
  </si>
  <si>
    <t>SAF-Q-409-G27</t>
  </si>
  <si>
    <t>SAF-Q-412-G27</t>
  </si>
  <si>
    <t>4-24 ga</t>
  </si>
  <si>
    <t>SUB-409-G24</t>
  </si>
  <si>
    <t>SUB-412-G24</t>
  </si>
  <si>
    <t>5-27 ga</t>
  </si>
  <si>
    <t>SUB-506</t>
  </si>
  <si>
    <t>SUB-509</t>
  </si>
  <si>
    <t>SAF-Q-509-G27</t>
  </si>
  <si>
    <t>5-24 ga</t>
  </si>
  <si>
    <t>SUB-512-G24</t>
  </si>
  <si>
    <t>6-27 ga</t>
  </si>
  <si>
    <t>SUB-606</t>
  </si>
  <si>
    <t>SUB-609</t>
  </si>
  <si>
    <t>SAF-Q-609-G27</t>
  </si>
  <si>
    <t>6-24 ga</t>
  </si>
  <si>
    <t>SUB-612-G24</t>
  </si>
  <si>
    <t>Avg Flow Rates Using Saline</t>
  </si>
  <si>
    <t>Freedom60</t>
  </si>
  <si>
    <t>% Difference</t>
  </si>
</sst>
</file>

<file path=xl/styles.xml><?xml version="1.0" encoding="utf-8"?>
<styleSheet xmlns="http://schemas.openxmlformats.org/spreadsheetml/2006/main">
  <numFmts count="6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"/>
    <numFmt numFmtId="165" formatCode="0.0%"/>
  </numFmts>
  <fonts count="15">
    <font>
      <sz val="10"/>
      <name val="Verdana"/>
    </font>
    <font>
      <sz val="10"/>
      <name val="Verdana"/>
    </font>
    <font>
      <sz val="8"/>
      <name val="Verdana"/>
    </font>
    <font>
      <b/>
      <sz val="11"/>
      <color indexed="8"/>
      <name val="Calibri"/>
      <family val="2"/>
    </font>
    <font>
      <b/>
      <sz val="11"/>
      <color indexed="30"/>
      <name val="Calibri"/>
      <family val="2"/>
    </font>
    <font>
      <sz val="11"/>
      <color indexed="57"/>
      <name val="Calibri"/>
      <family val="2"/>
    </font>
    <font>
      <strike/>
      <sz val="11"/>
      <color indexed="8"/>
      <name val="Calibri"/>
      <family val="2"/>
    </font>
    <font>
      <b/>
      <sz val="14"/>
      <color indexed="30"/>
      <name val="Calibri"/>
      <family val="2"/>
    </font>
    <font>
      <sz val="9"/>
      <color indexed="10"/>
      <name val="Calibri"/>
      <family val="2"/>
    </font>
    <font>
      <b/>
      <sz val="11"/>
      <name val="Calibri"/>
      <family val="2"/>
    </font>
    <font>
      <b/>
      <sz val="11"/>
      <color indexed="10"/>
      <name val="Calibri"/>
      <family val="2"/>
    </font>
    <font>
      <b/>
      <sz val="11"/>
      <color indexed="21"/>
      <name val="Calibri"/>
      <family val="2"/>
    </font>
    <font>
      <sz val="8"/>
      <color indexed="8"/>
      <name val="Calibri"/>
      <family val="2"/>
    </font>
    <font>
      <b/>
      <sz val="12"/>
      <color indexed="8"/>
      <name val="Calibri"/>
      <family val="2"/>
    </font>
    <font>
      <b/>
      <sz val="9"/>
      <color indexed="81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9">
    <xf numFmtId="0" fontId="0" fillId="0" borderId="0" xfId="0"/>
    <xf numFmtId="0" fontId="3" fillId="0" borderId="1" xfId="0" applyFont="1" applyBorder="1" applyAlignment="1">
      <alignment horizontal="center"/>
    </xf>
    <xf numFmtId="0" fontId="0" fillId="0" borderId="0" xfId="0" applyAlignment="1">
      <alignment horizontal="right"/>
    </xf>
    <xf numFmtId="0" fontId="3" fillId="0" borderId="0" xfId="0" applyFont="1" applyBorder="1" applyAlignment="1">
      <alignment horizontal="center"/>
    </xf>
    <xf numFmtId="0" fontId="3" fillId="0" borderId="0" xfId="0" applyFont="1"/>
    <xf numFmtId="0" fontId="0" fillId="0" borderId="0" xfId="0" applyAlignment="1"/>
    <xf numFmtId="0" fontId="3" fillId="0" borderId="0" xfId="0" applyFont="1" applyBorder="1" applyAlignment="1">
      <alignment horizontal="center"/>
    </xf>
    <xf numFmtId="0" fontId="0" fillId="0" borderId="0" xfId="0" applyFill="1"/>
    <xf numFmtId="0" fontId="3" fillId="0" borderId="5" xfId="0" applyFont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4" fillId="0" borderId="0" xfId="0" applyFont="1" applyFill="1"/>
    <xf numFmtId="0" fontId="0" fillId="2" borderId="1" xfId="0" applyFill="1" applyBorder="1" applyAlignment="1">
      <alignment horizontal="center" vertical="center" textRotation="90"/>
    </xf>
    <xf numFmtId="0" fontId="0" fillId="0" borderId="1" xfId="0" applyBorder="1" applyAlignment="1">
      <alignment horizontal="center" vertical="center"/>
    </xf>
    <xf numFmtId="0" fontId="0" fillId="0" borderId="0" xfId="0" quotePrefix="1" applyAlignment="1">
      <alignment horizontal="center"/>
    </xf>
    <xf numFmtId="0" fontId="5" fillId="3" borderId="4" xfId="0" applyFont="1" applyFill="1" applyBorder="1"/>
    <xf numFmtId="0" fontId="5" fillId="3" borderId="2" xfId="0" applyFont="1" applyFill="1" applyBorder="1" applyAlignment="1">
      <alignment horizontal="center"/>
    </xf>
    <xf numFmtId="164" fontId="5" fillId="3" borderId="1" xfId="0" applyNumberFormat="1" applyFont="1" applyFill="1" applyBorder="1" applyAlignment="1">
      <alignment horizontal="center"/>
    </xf>
    <xf numFmtId="0" fontId="6" fillId="0" borderId="0" xfId="0" applyFont="1" applyAlignment="1">
      <alignment horizontal="right"/>
    </xf>
    <xf numFmtId="0" fontId="6" fillId="0" borderId="0" xfId="0" applyFont="1"/>
    <xf numFmtId="0" fontId="0" fillId="0" borderId="0" xfId="0" applyBorder="1" applyAlignment="1">
      <alignment horizontal="center" vertical="center"/>
    </xf>
    <xf numFmtId="1" fontId="7" fillId="0" borderId="0" xfId="0" applyNumberFormat="1" applyFont="1" applyFill="1"/>
    <xf numFmtId="0" fontId="7" fillId="0" borderId="0" xfId="0" applyFont="1" applyFill="1"/>
    <xf numFmtId="0" fontId="5" fillId="3" borderId="1" xfId="0" applyFont="1" applyFill="1" applyBorder="1"/>
    <xf numFmtId="0" fontId="5" fillId="3" borderId="1" xfId="0" applyFont="1" applyFill="1" applyBorder="1" applyAlignment="1">
      <alignment horizontal="center"/>
    </xf>
    <xf numFmtId="0" fontId="0" fillId="0" borderId="0" xfId="0" applyFont="1" applyAlignment="1">
      <alignment horizontal="right"/>
    </xf>
    <xf numFmtId="0" fontId="0" fillId="0" borderId="0" xfId="0" applyFont="1"/>
    <xf numFmtId="0" fontId="8" fillId="0" borderId="0" xfId="0" applyFont="1" applyFill="1" applyAlignment="1">
      <alignment vertical="top"/>
    </xf>
    <xf numFmtId="0" fontId="9" fillId="3" borderId="1" xfId="0" applyFont="1" applyFill="1" applyBorder="1" applyAlignment="1">
      <alignment horizontal="left"/>
    </xf>
    <xf numFmtId="0" fontId="9" fillId="3" borderId="1" xfId="0" applyFont="1" applyFill="1" applyBorder="1" applyAlignment="1">
      <alignment horizontal="center"/>
    </xf>
    <xf numFmtId="164" fontId="10" fillId="3" borderId="1" xfId="0" applyNumberFormat="1" applyFont="1" applyFill="1" applyBorder="1" applyAlignment="1">
      <alignment horizontal="center"/>
    </xf>
    <xf numFmtId="164" fontId="3" fillId="3" borderId="1" xfId="0" applyNumberFormat="1" applyFont="1" applyFill="1" applyBorder="1" applyAlignment="1">
      <alignment horizontal="center"/>
    </xf>
    <xf numFmtId="164" fontId="11" fillId="3" borderId="1" xfId="0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0" fontId="5" fillId="3" borderId="2" xfId="0" applyFont="1" applyFill="1" applyBorder="1"/>
    <xf numFmtId="164" fontId="5" fillId="3" borderId="2" xfId="0" applyNumberFormat="1" applyFont="1" applyFill="1" applyBorder="1" applyAlignment="1">
      <alignment horizontal="center"/>
    </xf>
    <xf numFmtId="164" fontId="0" fillId="0" borderId="0" xfId="0" applyNumberFormat="1" applyAlignment="1">
      <alignment horizontal="left"/>
    </xf>
    <xf numFmtId="0" fontId="9" fillId="3" borderId="1" xfId="0" applyFont="1" applyFill="1" applyBorder="1"/>
    <xf numFmtId="0" fontId="8" fillId="0" borderId="0" xfId="0" applyFont="1" applyFill="1" applyAlignment="1">
      <alignment horizontal="right" vertical="top"/>
    </xf>
    <xf numFmtId="0" fontId="9" fillId="4" borderId="1" xfId="0" applyFont="1" applyFill="1" applyBorder="1" applyAlignment="1">
      <alignment horizontal="left"/>
    </xf>
    <xf numFmtId="0" fontId="9" fillId="4" borderId="1" xfId="0" applyFont="1" applyFill="1" applyBorder="1" applyAlignment="1">
      <alignment horizontal="center"/>
    </xf>
    <xf numFmtId="164" fontId="11" fillId="4" borderId="1" xfId="0" applyNumberFormat="1" applyFont="1" applyFill="1" applyBorder="1" applyAlignment="1">
      <alignment horizontal="center"/>
    </xf>
    <xf numFmtId="164" fontId="3" fillId="4" borderId="1" xfId="0" applyNumberFormat="1" applyFont="1" applyFill="1" applyBorder="1" applyAlignment="1">
      <alignment horizontal="center"/>
    </xf>
    <xf numFmtId="0" fontId="5" fillId="4" borderId="3" xfId="0" applyFont="1" applyFill="1" applyBorder="1"/>
    <xf numFmtId="0" fontId="5" fillId="4" borderId="3" xfId="0" applyFont="1" applyFill="1" applyBorder="1" applyAlignment="1">
      <alignment horizontal="center"/>
    </xf>
    <xf numFmtId="164" fontId="5" fillId="4" borderId="3" xfId="0" applyNumberFormat="1" applyFont="1" applyFill="1" applyBorder="1" applyAlignment="1">
      <alignment horizontal="center"/>
    </xf>
    <xf numFmtId="164" fontId="7" fillId="0" borderId="0" xfId="0" applyNumberFormat="1" applyFont="1" applyFill="1"/>
    <xf numFmtId="0" fontId="5" fillId="4" borderId="1" xfId="0" applyFont="1" applyFill="1" applyBorder="1"/>
    <xf numFmtId="0" fontId="5" fillId="4" borderId="1" xfId="0" applyFont="1" applyFill="1" applyBorder="1" applyAlignment="1">
      <alignment horizontal="center"/>
    </xf>
    <xf numFmtId="164" fontId="5" fillId="4" borderId="1" xfId="0" applyNumberFormat="1" applyFont="1" applyFill="1" applyBorder="1" applyAlignment="1">
      <alignment horizontal="center"/>
    </xf>
    <xf numFmtId="0" fontId="0" fillId="0" borderId="0" xfId="0" applyNumberFormat="1"/>
    <xf numFmtId="0" fontId="9" fillId="4" borderId="3" xfId="0" applyFont="1" applyFill="1" applyBorder="1"/>
    <xf numFmtId="0" fontId="9" fillId="4" borderId="3" xfId="0" applyFont="1" applyFill="1" applyBorder="1" applyAlignment="1">
      <alignment horizontal="center"/>
    </xf>
    <xf numFmtId="164" fontId="11" fillId="4" borderId="3" xfId="0" applyNumberFormat="1" applyFont="1" applyFill="1" applyBorder="1" applyAlignment="1">
      <alignment horizontal="center"/>
    </xf>
    <xf numFmtId="164" fontId="3" fillId="4" borderId="3" xfId="0" applyNumberFormat="1" applyFont="1" applyFill="1" applyBorder="1" applyAlignment="1">
      <alignment horizontal="center"/>
    </xf>
    <xf numFmtId="1" fontId="7" fillId="0" borderId="0" xfId="0" applyNumberFormat="1" applyFont="1" applyFill="1" applyAlignment="1">
      <alignment horizontal="center"/>
    </xf>
    <xf numFmtId="0" fontId="7" fillId="0" borderId="0" xfId="0" applyFont="1" applyFill="1" applyAlignment="1">
      <alignment horizontal="center"/>
    </xf>
    <xf numFmtId="10" fontId="0" fillId="0" borderId="0" xfId="1" applyNumberFormat="1" applyFont="1"/>
    <xf numFmtId="0" fontId="12" fillId="0" borderId="0" xfId="0" applyFont="1" applyAlignment="1">
      <alignment vertical="center"/>
    </xf>
    <xf numFmtId="0" fontId="5" fillId="3" borderId="3" xfId="0" applyFont="1" applyFill="1" applyBorder="1"/>
    <xf numFmtId="0" fontId="5" fillId="3" borderId="3" xfId="0" applyFont="1" applyFill="1" applyBorder="1" applyAlignment="1">
      <alignment horizontal="center"/>
    </xf>
    <xf numFmtId="164" fontId="5" fillId="3" borderId="3" xfId="0" applyNumberFormat="1" applyFont="1" applyFill="1" applyBorder="1" applyAlignment="1">
      <alignment horizontal="center"/>
    </xf>
    <xf numFmtId="164" fontId="10" fillId="4" borderId="1" xfId="0" applyNumberFormat="1" applyFont="1" applyFill="1" applyBorder="1" applyAlignment="1">
      <alignment horizontal="center"/>
    </xf>
    <xf numFmtId="164" fontId="10" fillId="4" borderId="3" xfId="0" applyNumberFormat="1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right"/>
    </xf>
    <xf numFmtId="0" fontId="0" fillId="0" borderId="0" xfId="0" quotePrefix="1"/>
    <xf numFmtId="0" fontId="0" fillId="0" borderId="1" xfId="0" applyFill="1" applyBorder="1" applyAlignment="1">
      <alignment horizontal="right"/>
    </xf>
    <xf numFmtId="0" fontId="9" fillId="3" borderId="2" xfId="0" applyFont="1" applyFill="1" applyBorder="1"/>
    <xf numFmtId="0" fontId="9" fillId="3" borderId="2" xfId="0" applyFont="1" applyFill="1" applyBorder="1" applyAlignment="1">
      <alignment horizontal="center"/>
    </xf>
    <xf numFmtId="164" fontId="10" fillId="3" borderId="2" xfId="0" applyNumberFormat="1" applyFont="1" applyFill="1" applyBorder="1" applyAlignment="1">
      <alignment horizontal="center"/>
    </xf>
    <xf numFmtId="164" fontId="3" fillId="3" borderId="2" xfId="0" applyNumberFormat="1" applyFont="1" applyFill="1" applyBorder="1" applyAlignment="1">
      <alignment horizontal="center"/>
    </xf>
    <xf numFmtId="164" fontId="11" fillId="3" borderId="2" xfId="0" applyNumberFormat="1" applyFont="1" applyFill="1" applyBorder="1" applyAlignment="1">
      <alignment horizontal="center"/>
    </xf>
    <xf numFmtId="0" fontId="9" fillId="4" borderId="3" xfId="0" applyFont="1" applyFill="1" applyBorder="1" applyAlignment="1">
      <alignment horizontal="left"/>
    </xf>
    <xf numFmtId="0" fontId="9" fillId="3" borderId="3" xfId="0" applyFont="1" applyFill="1" applyBorder="1"/>
    <xf numFmtId="0" fontId="9" fillId="3" borderId="3" xfId="0" applyFont="1" applyFill="1" applyBorder="1" applyAlignment="1">
      <alignment horizontal="center"/>
    </xf>
    <xf numFmtId="164" fontId="10" fillId="3" borderId="3" xfId="0" applyNumberFormat="1" applyFont="1" applyFill="1" applyBorder="1" applyAlignment="1">
      <alignment horizontal="center"/>
    </xf>
    <xf numFmtId="164" fontId="3" fillId="3" borderId="3" xfId="0" applyNumberFormat="1" applyFont="1" applyFill="1" applyBorder="1" applyAlignment="1">
      <alignment horizontal="center"/>
    </xf>
    <xf numFmtId="164" fontId="11" fillId="3" borderId="3" xfId="0" applyNumberFormat="1" applyFont="1" applyFill="1" applyBorder="1" applyAlignment="1">
      <alignment horizontal="center"/>
    </xf>
    <xf numFmtId="0" fontId="0" fillId="5" borderId="1" xfId="0" applyFill="1" applyBorder="1" applyAlignment="1">
      <alignment horizontal="center" vertical="center" textRotation="90"/>
    </xf>
    <xf numFmtId="0" fontId="13" fillId="0" borderId="0" xfId="0" applyFont="1" applyAlignment="1">
      <alignment horizontal="center"/>
    </xf>
    <xf numFmtId="0" fontId="3" fillId="0" borderId="1" xfId="0" applyFont="1" applyBorder="1" applyAlignment="1">
      <alignment horizontal="right"/>
    </xf>
    <xf numFmtId="0" fontId="0" fillId="0" borderId="2" xfId="0" applyBorder="1" applyAlignment="1">
      <alignment horizontal="center"/>
    </xf>
    <xf numFmtId="0" fontId="3" fillId="0" borderId="3" xfId="0" applyFont="1" applyBorder="1" applyAlignment="1">
      <alignment horizontal="right"/>
    </xf>
    <xf numFmtId="0" fontId="0" fillId="0" borderId="3" xfId="0" applyBorder="1" applyAlignment="1">
      <alignment horizontal="center"/>
    </xf>
    <xf numFmtId="0" fontId="3" fillId="0" borderId="2" xfId="0" applyFont="1" applyBorder="1" applyAlignment="1">
      <alignment horizontal="right"/>
    </xf>
    <xf numFmtId="165" fontId="0" fillId="0" borderId="2" xfId="1" applyNumberFormat="1" applyFont="1" applyBorder="1" applyAlignment="1">
      <alignment horizontal="center"/>
    </xf>
  </cellXfs>
  <cellStyles count="2">
    <cellStyle name="Normal" xfId="0" builtinId="0"/>
    <cellStyle name="Percent" xfId="1" builtinId="5"/>
  </cellStyles>
  <dxfs count="11">
    <dxf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lor rgb="FF0066CC"/>
      </font>
      <fill>
        <patternFill>
          <bgColor theme="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lor rgb="FF0066CC"/>
      </font>
      <fill>
        <patternFill>
          <bgColor theme="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</dxfs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6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23</xdr:col>
      <xdr:colOff>152400</xdr:colOff>
      <xdr:row>11</xdr:row>
      <xdr:rowOff>19050</xdr:rowOff>
    </xdr:from>
    <xdr:to>
      <xdr:col>25</xdr:col>
      <xdr:colOff>250825</xdr:colOff>
      <xdr:row>14</xdr:row>
      <xdr:rowOff>79375</xdr:rowOff>
    </xdr:to>
    <xdr:pic>
      <xdr:nvPicPr>
        <xdr:cNvPr id="2" name="Picture 1" descr="FlowDuration(100x100px).bmp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 l="11000" b="12000"/>
        <a:stretch>
          <a:fillRect/>
        </a:stretch>
      </xdr:blipFill>
      <xdr:spPr>
        <a:xfrm>
          <a:off x="21056600" y="2127250"/>
          <a:ext cx="962025" cy="796925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23</xdr:col>
      <xdr:colOff>123825</xdr:colOff>
      <xdr:row>1</xdr:row>
      <xdr:rowOff>161925</xdr:rowOff>
    </xdr:from>
    <xdr:to>
      <xdr:col>24</xdr:col>
      <xdr:colOff>314325</xdr:colOff>
      <xdr:row>5</xdr:row>
      <xdr:rowOff>92850</xdr:rowOff>
    </xdr:to>
    <xdr:pic>
      <xdr:nvPicPr>
        <xdr:cNvPr id="3" name="Picture 2" descr="FlowRate(100x100px).bmp"/>
        <xdr:cNvPicPr>
          <a:picLocks noChangeAspect="1"/>
        </xdr:cNvPicPr>
      </xdr:nvPicPr>
      <xdr:blipFill>
        <a:blip xmlns:r="http://schemas.openxmlformats.org/officeDocument/2006/relationships" r:embed="rId2" cstate="print"/>
        <a:srcRect l="8252" t="9252" r="7748"/>
        <a:stretch>
          <a:fillRect/>
        </a:stretch>
      </xdr:blipFill>
      <xdr:spPr>
        <a:xfrm>
          <a:off x="21028025" y="339725"/>
          <a:ext cx="863600" cy="807225"/>
        </a:xfrm>
        <a:prstGeom prst="rect">
          <a:avLst/>
        </a:prstGeom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EMED_Infuset_FlowCalc_Tool_V1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Infuset FlowCalc"/>
      <sheetName val="Print Results"/>
      <sheetName val="Instructions"/>
      <sheetName val="Flow Rates"/>
      <sheetName val="Lists"/>
      <sheetName val="Flow Rate Limits"/>
    </sheetNames>
    <sheetDataSet>
      <sheetData sheetId="0"/>
      <sheetData sheetId="1"/>
      <sheetData sheetId="2"/>
      <sheetData sheetId="3"/>
      <sheetData sheetId="4">
        <row r="2">
          <cell r="H2" t="str">
            <v>Qty Needles</v>
          </cell>
          <cell r="I2" t="str">
            <v>Needle Gauge</v>
          </cell>
          <cell r="J2" t="str">
            <v>24 ga</v>
          </cell>
          <cell r="K2" t="str">
            <v>27 ga</v>
          </cell>
        </row>
        <row r="3">
          <cell r="G3" t="str">
            <v>1 Needle</v>
          </cell>
          <cell r="H3">
            <v>1</v>
          </cell>
          <cell r="I3" t="str">
            <v>24 ga</v>
          </cell>
          <cell r="J3" t="str">
            <v>SUB-109-G24</v>
          </cell>
          <cell r="K3" t="str">
            <v>SUB-109-G27</v>
          </cell>
        </row>
        <row r="4">
          <cell r="G4" t="str">
            <v>2 Needles</v>
          </cell>
          <cell r="H4">
            <v>2</v>
          </cell>
          <cell r="I4" t="str">
            <v>27 ga</v>
          </cell>
          <cell r="J4" t="str">
            <v>SUB-209-G24</v>
          </cell>
          <cell r="K4" t="str">
            <v>SUB-260</v>
          </cell>
        </row>
        <row r="5">
          <cell r="G5" t="str">
            <v>3 Needles</v>
          </cell>
          <cell r="H5">
            <v>3</v>
          </cell>
          <cell r="J5" t="str">
            <v>SUB-309-G24</v>
          </cell>
          <cell r="K5" t="str">
            <v>SUB-320</v>
          </cell>
        </row>
        <row r="6">
          <cell r="G6" t="str">
            <v>4 Needles</v>
          </cell>
          <cell r="H6">
            <v>4</v>
          </cell>
          <cell r="J6" t="str">
            <v>SUB-409-G24</v>
          </cell>
          <cell r="K6" t="str">
            <v>SUB-410</v>
          </cell>
        </row>
        <row r="7">
          <cell r="G7" t="str">
            <v>5 Needles</v>
          </cell>
          <cell r="H7">
            <v>5</v>
          </cell>
          <cell r="J7" t="str">
            <v>SUB-512-G24</v>
          </cell>
          <cell r="K7" t="str">
            <v>SUB-509</v>
          </cell>
        </row>
        <row r="8">
          <cell r="G8" t="str">
            <v>6 Needles</v>
          </cell>
          <cell r="H8">
            <v>6</v>
          </cell>
          <cell r="J8" t="str">
            <v>SUB-612-G24</v>
          </cell>
          <cell r="K8" t="str">
            <v>SUB-609</v>
          </cell>
        </row>
        <row r="19">
          <cell r="AB19" t="b">
            <v>0</v>
          </cell>
        </row>
      </sheetData>
      <sheetData sheetId="5">
        <row r="3">
          <cell r="A3" t="str">
            <v>USA</v>
          </cell>
          <cell r="B3">
            <v>5</v>
          </cell>
          <cell r="C3">
            <v>6</v>
          </cell>
          <cell r="D3">
            <v>9999</v>
          </cell>
          <cell r="E3">
            <v>15.5</v>
          </cell>
          <cell r="F3">
            <v>25.5</v>
          </cell>
          <cell r="G3">
            <v>15</v>
          </cell>
          <cell r="H3">
            <v>25</v>
          </cell>
        </row>
        <row r="4">
          <cell r="A4" t="str">
            <v>Canada</v>
          </cell>
          <cell r="B4">
            <v>5</v>
          </cell>
          <cell r="C4">
            <v>6</v>
          </cell>
          <cell r="D4">
            <v>70.5</v>
          </cell>
          <cell r="E4">
            <v>15.5</v>
          </cell>
          <cell r="F4">
            <v>34.5</v>
          </cell>
          <cell r="G4">
            <v>15</v>
          </cell>
          <cell r="H4">
            <v>25</v>
          </cell>
        </row>
        <row r="5">
          <cell r="A5" t="str">
            <v>United Kingdom</v>
          </cell>
          <cell r="B5">
            <v>5</v>
          </cell>
          <cell r="C5">
            <v>6</v>
          </cell>
          <cell r="D5">
            <v>50.5</v>
          </cell>
          <cell r="E5">
            <v>15.5</v>
          </cell>
          <cell r="F5">
            <v>25.5</v>
          </cell>
          <cell r="G5">
            <v>15</v>
          </cell>
          <cell r="H5">
            <v>25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vmlDrawing" Target="../drawings/vmlDrawing1.vml"/><Relationship Id="rId3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sheetPr published="0" enableFormatConditionsCalculation="0"/>
  <dimension ref="B1:AD95"/>
  <sheetViews>
    <sheetView tabSelected="1" zoomScale="150" workbookViewId="0">
      <selection sqref="A1:XFD1048576"/>
    </sheetView>
  </sheetViews>
  <sheetFormatPr baseColWidth="10" defaultColWidth="7.5703125" defaultRowHeight="13"/>
  <cols>
    <col min="3" max="3" width="9.5703125" customWidth="1"/>
    <col min="4" max="5" width="15.28515625" customWidth="1"/>
    <col min="6" max="6" width="16.7109375" customWidth="1"/>
    <col min="7" max="12" width="9.42578125" customWidth="1"/>
    <col min="13" max="13" width="10.28515625" customWidth="1"/>
    <col min="14" max="14" width="3" customWidth="1"/>
    <col min="16" max="16" width="3.85546875" customWidth="1"/>
    <col min="17" max="17" width="18.7109375" customWidth="1"/>
    <col min="18" max="18" width="12.42578125" customWidth="1"/>
    <col min="19" max="19" width="12.7109375" customWidth="1"/>
    <col min="20" max="20" width="13" customWidth="1"/>
    <col min="21" max="21" width="4.7109375" customWidth="1"/>
    <col min="22" max="22" width="7.85546875" customWidth="1"/>
    <col min="23" max="23" width="12.42578125" customWidth="1"/>
    <col min="25" max="25" width="4.85546875" customWidth="1"/>
    <col min="26" max="26" width="6.7109375" customWidth="1"/>
    <col min="27" max="27" width="3.85546875" customWidth="1"/>
    <col min="28" max="28" width="4.7109375" customWidth="1"/>
    <col min="29" max="29" width="5.5703125" customWidth="1"/>
    <col min="30" max="30" width="4.28515625" customWidth="1"/>
  </cols>
  <sheetData>
    <row r="1" spans="2:29" ht="14">
      <c r="G1" s="1" t="s">
        <v>0</v>
      </c>
      <c r="H1" s="1"/>
      <c r="I1" s="1"/>
      <c r="J1" s="1"/>
      <c r="K1" s="1"/>
      <c r="L1" s="1"/>
      <c r="M1" s="1"/>
      <c r="Q1" s="2" t="s">
        <v>1</v>
      </c>
      <c r="R1" t="s">
        <v>2</v>
      </c>
      <c r="V1" s="3" t="s">
        <v>3</v>
      </c>
      <c r="W1" s="3"/>
    </row>
    <row r="2" spans="2:29" ht="14">
      <c r="B2" s="4"/>
      <c r="C2" s="4"/>
      <c r="D2" s="1" t="s">
        <v>4</v>
      </c>
      <c r="E2" s="1"/>
      <c r="F2" s="4"/>
      <c r="G2" s="1" t="s">
        <v>5</v>
      </c>
      <c r="H2" s="1"/>
      <c r="I2" s="1"/>
      <c r="J2" s="1"/>
      <c r="K2" s="1"/>
      <c r="L2" s="1"/>
      <c r="M2" s="1"/>
      <c r="Q2" s="2" t="s">
        <v>6</v>
      </c>
      <c r="R2" s="5" t="s">
        <v>7</v>
      </c>
      <c r="S2" s="5"/>
      <c r="V2" s="6" t="s">
        <v>8</v>
      </c>
      <c r="W2" s="6" t="s">
        <v>9</v>
      </c>
      <c r="X2" s="7"/>
      <c r="Y2" s="7"/>
      <c r="Z2" s="7"/>
      <c r="AA2" s="7"/>
      <c r="AB2" s="7"/>
      <c r="AC2" s="7"/>
    </row>
    <row r="3" spans="2:29" ht="15" thickBot="1">
      <c r="B3" s="8" t="s">
        <v>10</v>
      </c>
      <c r="C3" s="8" t="s">
        <v>11</v>
      </c>
      <c r="D3" s="9" t="s">
        <v>12</v>
      </c>
      <c r="E3" s="10" t="s">
        <v>13</v>
      </c>
      <c r="F3" s="11" t="s">
        <v>14</v>
      </c>
      <c r="G3" s="11" t="s">
        <v>15</v>
      </c>
      <c r="H3" s="11" t="s">
        <v>16</v>
      </c>
      <c r="I3" s="11" t="s">
        <v>17</v>
      </c>
      <c r="J3" s="11" t="s">
        <v>18</v>
      </c>
      <c r="K3" s="11" t="s">
        <v>19</v>
      </c>
      <c r="L3" s="11" t="s">
        <v>20</v>
      </c>
      <c r="M3" s="11" t="s">
        <v>21</v>
      </c>
      <c r="Q3" s="2" t="s">
        <v>22</v>
      </c>
      <c r="R3" s="5" t="s">
        <v>23</v>
      </c>
      <c r="S3" t="s">
        <v>24</v>
      </c>
      <c r="T3" t="str">
        <f>IFERROR(IF(NeedleGauge="24 ga",VLOOKUP(AdminSet,D4:F46,3,FALSE),VLOOKUP(AdminSet,E4:F46,2,FALSE)) &amp; " mm","")</f>
        <v>9 mm</v>
      </c>
      <c r="V3" s="12"/>
      <c r="W3" s="12"/>
      <c r="X3" s="7"/>
      <c r="Y3" s="7"/>
      <c r="Z3" s="13" t="s">
        <v>25</v>
      </c>
      <c r="AA3" s="7"/>
      <c r="AB3" s="7"/>
      <c r="AC3" s="7"/>
    </row>
    <row r="4" spans="2:29" ht="19" thickTop="1">
      <c r="B4" s="14" t="s">
        <v>26</v>
      </c>
      <c r="C4" s="15" t="s">
        <v>27</v>
      </c>
      <c r="D4" s="16"/>
      <c r="E4" s="17" t="s">
        <v>28</v>
      </c>
      <c r="F4" s="18">
        <v>4</v>
      </c>
      <c r="G4" s="19"/>
      <c r="H4" s="19"/>
      <c r="I4" s="19"/>
      <c r="J4" s="19">
        <f>IFERROR(J6*(1-($R$16*($F4-$U$16))),"DNM")</f>
        <v>16.6171661799075</v>
      </c>
      <c r="K4" s="19">
        <f>IFERROR(K6*(1-($R$16*($F4-$U$16))),"DNM")</f>
        <v>19.364817184510152</v>
      </c>
      <c r="L4" s="19"/>
      <c r="M4" s="19">
        <f>IFERROR(M6*(1-($R$16*($F4-$U$16))),"DNM")</f>
        <v>21.531148507424707</v>
      </c>
      <c r="Q4" s="20" t="s">
        <v>29</v>
      </c>
      <c r="R4" s="21" t="str">
        <f>VLOOKUP(QtyNeedles,[1]Lists!$H$2:$K$8,MATCH(NeedleGauge,[1]Lists!$H$2:$K$2,0),FALSE)</f>
        <v>SUB-260</v>
      </c>
      <c r="V4" s="22">
        <f>VLOOKUP(Country_Region,'[1]Flow Rate Limits'!$A$3:$H$5,4,FALSE)</f>
        <v>9999</v>
      </c>
      <c r="W4" s="22"/>
      <c r="X4" s="7"/>
      <c r="Y4" s="7"/>
      <c r="Z4" s="23">
        <f>IF(AnyErrorMessages=TRUE,"",FlowRate)</f>
        <v>25.035553525781211</v>
      </c>
      <c r="AA4" s="24" t="s">
        <v>30</v>
      </c>
      <c r="AB4" s="7"/>
      <c r="AC4" s="7"/>
    </row>
    <row r="5" spans="2:29" ht="14">
      <c r="B5" s="14"/>
      <c r="C5" s="15" t="s">
        <v>27</v>
      </c>
      <c r="D5" s="16"/>
      <c r="E5" s="25" t="s">
        <v>31</v>
      </c>
      <c r="F5" s="26">
        <v>6</v>
      </c>
      <c r="G5" s="19"/>
      <c r="H5" s="19"/>
      <c r="I5" s="19"/>
      <c r="J5" s="19">
        <f>IFERROR(J6*(1-($R$16*($F5-$U$16))),"DNM")</f>
        <v>15.688034307482562</v>
      </c>
      <c r="K5" s="19">
        <f>IFERROR(K6*(1-($R$16*($F5-$U$16))),"DNM")</f>
        <v>18.282053212903129</v>
      </c>
      <c r="L5" s="19"/>
      <c r="M5" s="19">
        <f>IFERROR(M6*(1-($R$16*($F5-$U$16))),"DNM")</f>
        <v>20.32725633281601</v>
      </c>
      <c r="Q5" s="27" t="s">
        <v>32</v>
      </c>
      <c r="R5" s="28" t="s">
        <v>20</v>
      </c>
      <c r="S5" s="5"/>
      <c r="V5" s="12"/>
      <c r="W5" s="12"/>
      <c r="X5" s="7"/>
      <c r="Y5" s="7"/>
      <c r="Z5" s="29" t="str">
        <f>IF(AnyErrorMessages=TRUE,"",IF(Z4&gt;V4,"Exceeds total flow rate limit",""))</f>
        <v/>
      </c>
      <c r="AA5" s="7"/>
      <c r="AB5" s="7"/>
      <c r="AC5" s="7"/>
    </row>
    <row r="6" spans="2:29" ht="14">
      <c r="B6" s="14"/>
      <c r="C6" s="15" t="s">
        <v>27</v>
      </c>
      <c r="D6" s="16"/>
      <c r="E6" s="30" t="s">
        <v>33</v>
      </c>
      <c r="F6" s="31">
        <v>9</v>
      </c>
      <c r="G6" s="32"/>
      <c r="H6" s="33"/>
      <c r="I6" s="33"/>
      <c r="J6" s="34">
        <f>J49*(1+J$95)</f>
        <v>14.29433649884516</v>
      </c>
      <c r="K6" s="34">
        <f>K49*(1+K$95)</f>
        <v>16.657907255492603</v>
      </c>
      <c r="L6" s="34"/>
      <c r="M6" s="34">
        <f t="shared" ref="M6" si="0">M49*(1+M$95)</f>
        <v>18.521418070902971</v>
      </c>
      <c r="Q6" s="2" t="s">
        <v>34</v>
      </c>
      <c r="R6" s="35">
        <v>1</v>
      </c>
      <c r="S6" s="5"/>
      <c r="V6" s="12"/>
      <c r="W6" s="12"/>
      <c r="X6" s="7"/>
      <c r="Y6" s="7"/>
      <c r="Z6" s="13" t="s">
        <v>35</v>
      </c>
      <c r="AA6" s="7"/>
      <c r="AB6" s="7"/>
      <c r="AC6" s="7"/>
    </row>
    <row r="7" spans="2:29" ht="18">
      <c r="B7" s="14"/>
      <c r="C7" s="15" t="s">
        <v>27</v>
      </c>
      <c r="D7" s="16"/>
      <c r="E7" s="36" t="s">
        <v>36</v>
      </c>
      <c r="F7" s="18">
        <v>6</v>
      </c>
      <c r="G7" s="37"/>
      <c r="H7" s="37"/>
      <c r="I7" s="37"/>
      <c r="J7" s="37">
        <f>IFERROR(J8*(1-($R$16*($F7-$U$16))),"DNM")</f>
        <v>15.688034307482562</v>
      </c>
      <c r="K7" s="37">
        <f>IFERROR(K8*(1-($R$16*($F7-$U$16))),"DNM")</f>
        <v>18.282053212903129</v>
      </c>
      <c r="L7" s="37"/>
      <c r="M7" s="37">
        <f>IFERROR(M8*(1-($R$16*($F7-$U$16))),"DNM")</f>
        <v>20.32725633281601</v>
      </c>
      <c r="Q7" s="2" t="s">
        <v>37</v>
      </c>
      <c r="R7" s="38">
        <f>IFERROR(IF(Pump="Freedom60®",IF(NeedleGauge="24 ga", VLOOKUP(AdminSet, D4:M46,3+MATCH(Infuset,G3:M3,0),FALSE),VLOOKUP(AdminSet,E4:M46,2+MATCH(Infuset,G3:M3,0),FALSE)),IF(NeedleGauge="24 ga", VLOOKUP(AdminSet, D47:M89,3+MATCH(Infuset,G3:M3,0),FALSE),VLOOKUP(AdminSet,E47:M89,2+MATCH(Infuset,G3:M3,0),FALSE))),"")</f>
        <v>25.035553525781211</v>
      </c>
      <c r="S7" t="s">
        <v>30</v>
      </c>
      <c r="V7" s="12">
        <f>VLOOKUP(Country_Region,'[1]Flow Rate Limits'!$A$3:$H$5,5,FALSE)</f>
        <v>15.5</v>
      </c>
      <c r="W7" s="12">
        <f>VLOOKUP(Country_Region,'[1]Flow Rate Limits'!$A$3:$H$5,6,FALSE)</f>
        <v>25.5</v>
      </c>
      <c r="X7" s="7"/>
      <c r="Y7" s="7"/>
      <c r="Z7" s="23">
        <f>IF(AnyErrorMessages=TRUE,"",Z4/R9)</f>
        <v>12.517776762890605</v>
      </c>
      <c r="AA7" s="24" t="s">
        <v>30</v>
      </c>
      <c r="AB7" s="7"/>
      <c r="AC7" s="7"/>
    </row>
    <row r="8" spans="2:29" ht="14">
      <c r="B8" s="14"/>
      <c r="C8" s="15" t="s">
        <v>27</v>
      </c>
      <c r="D8" s="16"/>
      <c r="E8" s="39" t="s">
        <v>38</v>
      </c>
      <c r="F8" s="31">
        <v>9</v>
      </c>
      <c r="G8" s="32"/>
      <c r="H8" s="33"/>
      <c r="I8" s="33"/>
      <c r="J8" s="34">
        <f>J6</f>
        <v>14.29433649884516</v>
      </c>
      <c r="K8" s="34">
        <f>K6</f>
        <v>16.657907255492603</v>
      </c>
      <c r="L8" s="34"/>
      <c r="M8" s="34">
        <f>M6</f>
        <v>18.521418070902971</v>
      </c>
      <c r="Q8" s="2" t="s">
        <v>39</v>
      </c>
      <c r="R8" t="s">
        <v>40</v>
      </c>
      <c r="V8" s="12"/>
      <c r="W8" s="12"/>
      <c r="X8" s="7"/>
      <c r="Y8" s="7"/>
      <c r="AA8" s="7"/>
      <c r="AB8" s="7"/>
      <c r="AC8" s="40" t="str">
        <f>IF(AnyErrorMessages=TRUE,"",IF(Z7&gt;W7,"Exceeds limit for subsequent infusions",IF(AND(FirstWarnings=TRUE,Z7&gt;V7),"Caution: Limit for first time infusion exceeded","")))</f>
        <v/>
      </c>
    </row>
    <row r="9" spans="2:29" ht="14">
      <c r="B9" s="14"/>
      <c r="C9" s="15" t="s">
        <v>41</v>
      </c>
      <c r="D9" s="41" t="s">
        <v>42</v>
      </c>
      <c r="E9" s="41"/>
      <c r="F9" s="42">
        <v>9</v>
      </c>
      <c r="G9" s="43">
        <f>G52*(1+G$95)</f>
        <v>12.440501591606624</v>
      </c>
      <c r="H9" s="43">
        <f t="shared" ref="H9:J9" si="1">H52*(1+H$95)</f>
        <v>16.683044606857099</v>
      </c>
      <c r="I9" s="43">
        <f t="shared" si="1"/>
        <v>23.328095953544313</v>
      </c>
      <c r="J9" s="43">
        <f t="shared" si="1"/>
        <v>31.009638643891179</v>
      </c>
      <c r="K9" s="43"/>
      <c r="L9" s="44"/>
      <c r="M9" s="44"/>
      <c r="Q9" s="2" t="s">
        <v>43</v>
      </c>
      <c r="R9" s="35">
        <f>IF(NeedleSet="","",VLOOKUP(R8,[1]Lists!$G$3:$H$8,2,FALSE))</f>
        <v>2</v>
      </c>
      <c r="V9" s="12"/>
      <c r="W9" s="12"/>
      <c r="X9" s="7"/>
      <c r="Y9" s="7"/>
      <c r="Z9" s="13" t="s">
        <v>44</v>
      </c>
      <c r="AA9" s="7"/>
      <c r="AB9" s="7"/>
      <c r="AC9" s="7"/>
    </row>
    <row r="10" spans="2:29" ht="19" thickBot="1">
      <c r="B10" s="14"/>
      <c r="C10" s="15" t="s">
        <v>41</v>
      </c>
      <c r="D10" s="45" t="s">
        <v>45</v>
      </c>
      <c r="E10" s="45"/>
      <c r="F10" s="46">
        <v>12</v>
      </c>
      <c r="G10" s="47">
        <f>IFERROR(G9*(1-($R$16*($F10-$U$16))),"DNM")</f>
        <v>11.227552686424978</v>
      </c>
      <c r="H10" s="47">
        <f>IFERROR(H9*(1-($R$16*($F10-$U$16))),"DNM")</f>
        <v>15.056447757688531</v>
      </c>
      <c r="I10" s="47">
        <f>IFERROR(I9*(1-($R$16*($F10-$U$16))),"DNM")</f>
        <v>21.053606598073742</v>
      </c>
      <c r="J10" s="47">
        <f>IFERROR(J9*(1-($R$16*($F10-$U$16))),"DNM")</f>
        <v>27.986198876111789</v>
      </c>
      <c r="K10" s="47"/>
      <c r="L10" s="47"/>
      <c r="M10" s="47"/>
      <c r="Q10" s="2" t="s">
        <v>46</v>
      </c>
      <c r="R10" t="s">
        <v>13</v>
      </c>
      <c r="V10" s="12">
        <f>VLOOKUP(Country_Region,'[1]Flow Rate Limits'!$A$3:$H$5,7,FALSE)</f>
        <v>15</v>
      </c>
      <c r="W10" s="12">
        <f>VLOOKUP(Country_Region,'[1]Flow Rate Limits'!$A$3:$H$5,8,FALSE)</f>
        <v>25</v>
      </c>
      <c r="X10" s="7"/>
      <c r="Y10" s="7"/>
      <c r="Z10" s="48">
        <f>IF(AnyErrorMessages=TRUE,"",R11/R9)</f>
        <v>15</v>
      </c>
      <c r="AA10" s="24" t="s">
        <v>47</v>
      </c>
      <c r="AB10" s="7"/>
      <c r="AC10" s="7"/>
    </row>
    <row r="11" spans="2:29" ht="15" thickTop="1">
      <c r="B11" s="14"/>
      <c r="C11" s="15" t="s">
        <v>41</v>
      </c>
      <c r="D11" s="49" t="s">
        <v>48</v>
      </c>
      <c r="E11" s="49"/>
      <c r="F11" s="50">
        <v>6</v>
      </c>
      <c r="G11" s="51">
        <f>IFERROR(G12*(1-($R$16*($F11-$U$16))),"DNM")</f>
        <v>13.653450496788269</v>
      </c>
      <c r="H11" s="51">
        <f>IFERROR(H12*(1-($R$16*($F11-$U$16))),"DNM")</f>
        <v>18.309641456025663</v>
      </c>
      <c r="I11" s="51">
        <f>IFERROR(I12*(1-($R$16*($F11-$U$16))),"DNM")</f>
        <v>25.602585309014881</v>
      </c>
      <c r="J11" s="51">
        <f>IFERROR(J12*(1-($R$16*($F11-$U$16))),"DNM")</f>
        <v>34.033078411670566</v>
      </c>
      <c r="K11" s="51"/>
      <c r="L11" s="51"/>
      <c r="M11" s="51"/>
      <c r="Q11" s="2" t="s">
        <v>49</v>
      </c>
      <c r="R11" s="52">
        <f>VALUE(R12)</f>
        <v>30</v>
      </c>
      <c r="S11" t="s">
        <v>47</v>
      </c>
      <c r="X11" s="7"/>
      <c r="Y11" s="7"/>
      <c r="AA11" s="7"/>
      <c r="AB11" s="7"/>
      <c r="AC11" s="40" t="str">
        <f>IF(AnyErrorMessages=TRUE,"",IF(Z10&gt;W10,"Exceeds limit for subsequent infusions",IF(AND(FirstWarnings=TRUE,Z10&gt;V10),"Caution: Limit for first time infusion exceeded","")))</f>
        <v/>
      </c>
    </row>
    <row r="12" spans="2:29" ht="15" thickBot="1">
      <c r="B12" s="14"/>
      <c r="C12" s="15" t="s">
        <v>41</v>
      </c>
      <c r="D12" s="53" t="s">
        <v>50</v>
      </c>
      <c r="E12" s="53"/>
      <c r="F12" s="54">
        <v>9</v>
      </c>
      <c r="G12" s="55">
        <f t="shared" ref="G12:J12" si="2">G9</f>
        <v>12.440501591606624</v>
      </c>
      <c r="H12" s="55">
        <f t="shared" si="2"/>
        <v>16.683044606857099</v>
      </c>
      <c r="I12" s="55">
        <f t="shared" si="2"/>
        <v>23.328095953544313</v>
      </c>
      <c r="J12" s="55">
        <f t="shared" si="2"/>
        <v>31.009638643891179</v>
      </c>
      <c r="K12" s="55"/>
      <c r="L12" s="56"/>
      <c r="M12" s="56"/>
      <c r="Q12" s="2" t="s">
        <v>51</v>
      </c>
      <c r="R12" t="s">
        <v>52</v>
      </c>
      <c r="X12" s="7"/>
      <c r="Y12" s="7"/>
      <c r="Z12" s="7"/>
      <c r="AA12" s="7"/>
      <c r="AB12" s="7"/>
      <c r="AC12" s="7"/>
    </row>
    <row r="13" spans="2:29" ht="15" thickTop="1">
      <c r="B13" s="14"/>
      <c r="C13" s="15" t="s">
        <v>53</v>
      </c>
      <c r="D13" s="16"/>
      <c r="E13" s="36" t="s">
        <v>54</v>
      </c>
      <c r="F13" s="18">
        <v>4</v>
      </c>
      <c r="G13" s="37"/>
      <c r="H13" s="37"/>
      <c r="I13" s="37"/>
      <c r="J13" s="37"/>
      <c r="K13" s="37"/>
      <c r="L13" s="37">
        <f>IFERROR(L15*(1-($R$16*($F13-$U$16))),"DNM")</f>
        <v>31.196914708132073</v>
      </c>
      <c r="M13" s="37">
        <f>IFERROR(M15*(1-($R$16*($F13-$U$16))),"DNM")</f>
        <v>36.848420319182438</v>
      </c>
      <c r="Q13" s="2" t="s">
        <v>55</v>
      </c>
      <c r="R13">
        <f>VLOOKUP(Country_Region,'[1]Flow Rate Limits'!$A$3:$C$5,2,FALSE)</f>
        <v>5</v>
      </c>
      <c r="X13" s="7"/>
      <c r="Y13" s="7"/>
      <c r="Z13" s="13" t="s">
        <v>56</v>
      </c>
      <c r="AA13" s="7"/>
      <c r="AB13" s="7"/>
      <c r="AC13" s="7"/>
    </row>
    <row r="14" spans="2:29" ht="18">
      <c r="B14" s="14"/>
      <c r="C14" s="15" t="s">
        <v>53</v>
      </c>
      <c r="D14" s="16"/>
      <c r="E14" s="25" t="s">
        <v>57</v>
      </c>
      <c r="F14" s="26">
        <v>6</v>
      </c>
      <c r="G14" s="19"/>
      <c r="H14" s="19"/>
      <c r="I14" s="19"/>
      <c r="J14" s="19"/>
      <c r="K14" s="19"/>
      <c r="L14" s="19">
        <f>IFERROR(L15*(1-($R$16*($F14-$U$16))),"DNM")</f>
        <v>29.452571090042966</v>
      </c>
      <c r="M14" s="19">
        <f>IFERROR(M15*(1-($R$16*($F14-$U$16))),"DNM")</f>
        <v>34.788078537894812</v>
      </c>
      <c r="Q14" s="2" t="s">
        <v>58</v>
      </c>
      <c r="R14">
        <f>VLOOKUP(Country_Region,'[1]Flow Rate Limits'!$A$3:$C$5,3,FALSE)</f>
        <v>6</v>
      </c>
      <c r="X14" s="7"/>
      <c r="Y14" s="7"/>
      <c r="Z14" s="57">
        <f>IF(AnyErrorMessages=TRUE,"",IF($R$11=0,0,INT($R$11/$R$7)))</f>
        <v>1</v>
      </c>
      <c r="AA14" s="24" t="s">
        <v>59</v>
      </c>
      <c r="AB14" s="58">
        <f>IF(AnyErrorMessages=TRUE,"",IF($R$11=0,0,INT((($R$11/$R$7)-INT($R$11/$R$7))*60)))</f>
        <v>11</v>
      </c>
      <c r="AC14" s="24" t="s">
        <v>60</v>
      </c>
    </row>
    <row r="15" spans="2:29" ht="14">
      <c r="B15" s="14"/>
      <c r="C15" s="15" t="s">
        <v>53</v>
      </c>
      <c r="D15" s="16"/>
      <c r="E15" s="30" t="s">
        <v>23</v>
      </c>
      <c r="F15" s="31">
        <v>9</v>
      </c>
      <c r="G15" s="32"/>
      <c r="H15" s="33"/>
      <c r="I15" s="33"/>
      <c r="J15" s="33"/>
      <c r="K15" s="33"/>
      <c r="L15" s="34">
        <f t="shared" ref="L15:M15" si="3">L58*(1+L$95)</f>
        <v>26.83605566290931</v>
      </c>
      <c r="M15" s="34">
        <f t="shared" si="3"/>
        <v>31.697565865963384</v>
      </c>
      <c r="X15" s="7"/>
      <c r="Y15" s="7"/>
      <c r="Z15" s="7"/>
      <c r="AA15" s="7"/>
      <c r="AB15" s="7"/>
      <c r="AC15" s="7"/>
    </row>
    <row r="16" spans="2:29" ht="14">
      <c r="B16" s="14"/>
      <c r="C16" s="15" t="s">
        <v>53</v>
      </c>
      <c r="D16" s="16"/>
      <c r="E16" s="25" t="s">
        <v>61</v>
      </c>
      <c r="F16" s="26">
        <v>12</v>
      </c>
      <c r="G16" s="19"/>
      <c r="H16" s="19"/>
      <c r="I16" s="19"/>
      <c r="J16" s="19"/>
      <c r="K16" s="19"/>
      <c r="L16" s="19">
        <f>IFERROR(L15*(1-($R$16*($F16-$U$16))),"DNM")</f>
        <v>24.21954023577565</v>
      </c>
      <c r="M16" s="19">
        <f>IFERROR(M15*(1-($R$16*($F16-$U$16))),"DNM")</f>
        <v>28.607053194031952</v>
      </c>
      <c r="Q16" s="2" t="s">
        <v>62</v>
      </c>
      <c r="R16" s="59">
        <v>3.2500000000000001E-2</v>
      </c>
      <c r="S16" t="s">
        <v>63</v>
      </c>
      <c r="U16" s="35">
        <v>9</v>
      </c>
      <c r="V16" t="s">
        <v>64</v>
      </c>
      <c r="X16" s="7"/>
      <c r="Y16" s="7"/>
      <c r="Z16" s="7"/>
      <c r="AA16" s="7"/>
      <c r="AB16" s="7"/>
      <c r="AC16" s="7"/>
    </row>
    <row r="17" spans="2:30" ht="14">
      <c r="B17" s="14"/>
      <c r="C17" s="15" t="s">
        <v>53</v>
      </c>
      <c r="D17" s="16"/>
      <c r="E17" s="36" t="s">
        <v>65</v>
      </c>
      <c r="F17" s="18">
        <v>6</v>
      </c>
      <c r="G17" s="37"/>
      <c r="H17" s="37"/>
      <c r="I17" s="37"/>
      <c r="J17" s="37"/>
      <c r="K17" s="37"/>
      <c r="L17" s="37">
        <f>IFERROR(L18*(1-($R$16*($F17-$U$16))),"DNM")</f>
        <v>29.452571090042966</v>
      </c>
      <c r="M17" s="37">
        <f>IFERROR(M18*(1-($R$16*($F17-$U$16))),"DNM")</f>
        <v>34.788078537894812</v>
      </c>
      <c r="Q17" s="2" t="s">
        <v>66</v>
      </c>
      <c r="R17">
        <f>MATCH(AdminSet,IF(NeedleGauge="24 ga",D4:D46,E4:E46),0)</f>
        <v>12</v>
      </c>
      <c r="Z17" s="60"/>
      <c r="AA17" s="60"/>
      <c r="AB17" s="60"/>
      <c r="AC17" s="60"/>
      <c r="AD17" s="60"/>
    </row>
    <row r="18" spans="2:30" ht="14">
      <c r="B18" s="14"/>
      <c r="C18" s="15" t="s">
        <v>53</v>
      </c>
      <c r="D18" s="16"/>
      <c r="E18" s="39" t="s">
        <v>67</v>
      </c>
      <c r="F18" s="31">
        <v>9</v>
      </c>
      <c r="G18" s="32"/>
      <c r="H18" s="33"/>
      <c r="I18" s="33"/>
      <c r="J18" s="33"/>
      <c r="K18" s="33"/>
      <c r="L18" s="34">
        <f>L15</f>
        <v>26.83605566290931</v>
      </c>
      <c r="M18" s="34">
        <f>M15</f>
        <v>31.697565865963384</v>
      </c>
      <c r="Q18" s="2"/>
      <c r="R18" s="59"/>
      <c r="Z18" s="60"/>
    </row>
    <row r="19" spans="2:30" ht="15" thickBot="1">
      <c r="B19" s="14"/>
      <c r="C19" s="15" t="s">
        <v>53</v>
      </c>
      <c r="D19" s="16"/>
      <c r="E19" s="61" t="s">
        <v>68</v>
      </c>
      <c r="F19" s="62">
        <v>12</v>
      </c>
      <c r="G19" s="63"/>
      <c r="H19" s="63"/>
      <c r="I19" s="63"/>
      <c r="J19" s="63"/>
      <c r="K19" s="63"/>
      <c r="L19" s="63">
        <f>IFERROR(L18*(1-($R$16*($F19-$U$16))),"DNM")</f>
        <v>24.21954023577565</v>
      </c>
      <c r="M19" s="63">
        <f>IFERROR(M18*(1-($R$16*($F19-$U$16))),"DNM")</f>
        <v>28.607053194031952</v>
      </c>
    </row>
    <row r="20" spans="2:30" ht="15" customHeight="1" thickTop="1">
      <c r="B20" s="14"/>
      <c r="C20" s="15" t="s">
        <v>69</v>
      </c>
      <c r="D20" s="41" t="s">
        <v>70</v>
      </c>
      <c r="E20" s="41"/>
      <c r="F20" s="42">
        <v>9</v>
      </c>
      <c r="G20" s="44"/>
      <c r="H20" s="44"/>
      <c r="I20" s="43">
        <f>I63*(1+I$95)</f>
        <v>26.920544173143238</v>
      </c>
      <c r="J20" s="43">
        <f t="shared" ref="J20:L20" si="4">J63*(1+J$95)</f>
        <v>36.611990920781736</v>
      </c>
      <c r="K20" s="43">
        <f t="shared" si="4"/>
        <v>52.448511647597819</v>
      </c>
      <c r="L20" s="43">
        <f t="shared" si="4"/>
        <v>56.209600301522698</v>
      </c>
      <c r="M20" s="44"/>
      <c r="Q20" s="2"/>
    </row>
    <row r="21" spans="2:30" ht="15" thickBot="1">
      <c r="B21" s="14"/>
      <c r="C21" s="15" t="s">
        <v>69</v>
      </c>
      <c r="D21" s="45" t="s">
        <v>71</v>
      </c>
      <c r="E21" s="45"/>
      <c r="F21" s="46">
        <v>12</v>
      </c>
      <c r="G21" s="47"/>
      <c r="H21" s="47"/>
      <c r="I21" s="47">
        <f>IFERROR(I20*(1-($R$16*($F21-$U$16))),"DNM")</f>
        <v>24.295791116261771</v>
      </c>
      <c r="J21" s="47">
        <f>IFERROR(J20*(1-($R$16*($F21-$U$16))),"DNM")</f>
        <v>33.042321806005518</v>
      </c>
      <c r="K21" s="47">
        <f>IFERROR(K20*(1-($R$16*($F21-$U$16))),"DNM")</f>
        <v>47.334781761957032</v>
      </c>
      <c r="L21" s="47">
        <f>IFERROR(L20*(1-($R$16*($F21-$U$16))),"DNM")</f>
        <v>50.729164272124237</v>
      </c>
      <c r="M21" s="47"/>
      <c r="Q21" s="2" t="s">
        <v>72</v>
      </c>
      <c r="R21" t="s">
        <v>73</v>
      </c>
    </row>
    <row r="22" spans="2:30" ht="15" thickTop="1">
      <c r="B22" s="14"/>
      <c r="C22" s="15" t="s">
        <v>74</v>
      </c>
      <c r="D22" s="16"/>
      <c r="E22" s="36" t="s">
        <v>75</v>
      </c>
      <c r="F22" s="18">
        <v>6</v>
      </c>
      <c r="G22" s="37"/>
      <c r="H22" s="37"/>
      <c r="I22" s="37"/>
      <c r="J22" s="37"/>
      <c r="K22" s="37"/>
      <c r="L22" s="37">
        <f>IFERROR(L23*(1-($R$16*($F22-$U$16))),"DNM")</f>
        <v>38.788042980911648</v>
      </c>
      <c r="M22" s="37">
        <f>IFERROR(M23*(1-($R$16*($F22-$U$16))),"DNM")</f>
        <v>50.174563078363811</v>
      </c>
      <c r="Q22" s="2" t="s">
        <v>76</v>
      </c>
      <c r="R22" t="b">
        <v>0</v>
      </c>
    </row>
    <row r="23" spans="2:30" ht="14">
      <c r="B23" s="14"/>
      <c r="C23" s="15" t="s">
        <v>74</v>
      </c>
      <c r="D23" s="16"/>
      <c r="E23" s="30" t="s">
        <v>77</v>
      </c>
      <c r="F23" s="31">
        <v>9</v>
      </c>
      <c r="G23" s="32"/>
      <c r="H23" s="33"/>
      <c r="I23" s="33"/>
      <c r="J23" s="33"/>
      <c r="K23" s="33"/>
      <c r="L23" s="34">
        <f t="shared" ref="L23:M23" si="5">L66*(1+L$95)</f>
        <v>35.342180392630205</v>
      </c>
      <c r="M23" s="34">
        <f t="shared" si="5"/>
        <v>45.717141757051309</v>
      </c>
    </row>
    <row r="24" spans="2:30" ht="14">
      <c r="B24" s="14"/>
      <c r="C24" s="15" t="s">
        <v>74</v>
      </c>
      <c r="D24" s="16"/>
      <c r="E24" s="25" t="s">
        <v>78</v>
      </c>
      <c r="F24" s="26">
        <v>12</v>
      </c>
      <c r="G24" s="19"/>
      <c r="H24" s="19"/>
      <c r="I24" s="19"/>
      <c r="J24" s="19"/>
      <c r="K24" s="19"/>
      <c r="L24" s="19">
        <f>IFERROR(L23*(1-($R$16*($F24-$U$16))),"DNM")</f>
        <v>31.896317804348758</v>
      </c>
      <c r="M24" s="19">
        <f>IFERROR(M23*(1-($R$16*($F24-$U$16))),"DNM")</f>
        <v>41.259720435738807</v>
      </c>
    </row>
    <row r="25" spans="2:30" ht="14">
      <c r="B25" s="14"/>
      <c r="C25" s="15" t="s">
        <v>74</v>
      </c>
      <c r="D25" s="16"/>
      <c r="E25" s="36" t="s">
        <v>79</v>
      </c>
      <c r="F25" s="18">
        <v>6</v>
      </c>
      <c r="G25" s="37"/>
      <c r="H25" s="37"/>
      <c r="I25" s="37"/>
      <c r="J25" s="37"/>
      <c r="K25" s="37"/>
      <c r="L25" s="37">
        <f>IFERROR(L26*(1-($R$16*($F25-$U$16))),"DNM")</f>
        <v>38.788042980911648</v>
      </c>
      <c r="M25" s="37">
        <f>IFERROR(M26*(1-($R$16*($F25-$U$16))),"DNM")</f>
        <v>50.174563078363811</v>
      </c>
    </row>
    <row r="26" spans="2:30" ht="14">
      <c r="B26" s="14"/>
      <c r="C26" s="15" t="s">
        <v>74</v>
      </c>
      <c r="D26" s="16"/>
      <c r="E26" s="39" t="s">
        <v>80</v>
      </c>
      <c r="F26" s="31">
        <v>9</v>
      </c>
      <c r="G26" s="32"/>
      <c r="H26" s="33"/>
      <c r="I26" s="33"/>
      <c r="J26" s="33"/>
      <c r="K26" s="33"/>
      <c r="L26" s="34">
        <f>L23</f>
        <v>35.342180392630205</v>
      </c>
      <c r="M26" s="34">
        <f>M23</f>
        <v>45.717141757051309</v>
      </c>
    </row>
    <row r="27" spans="2:30" ht="14">
      <c r="B27" s="14"/>
      <c r="C27" s="15" t="s">
        <v>81</v>
      </c>
      <c r="D27" s="41" t="s">
        <v>82</v>
      </c>
      <c r="E27" s="41"/>
      <c r="F27" s="42">
        <v>9</v>
      </c>
      <c r="G27" s="64"/>
      <c r="H27" s="44"/>
      <c r="I27" s="44"/>
      <c r="J27" s="43">
        <f t="shared" ref="J27:L27" si="6">J70*(1+J$95)</f>
        <v>40.498319211395462</v>
      </c>
      <c r="K27" s="43">
        <f t="shared" si="6"/>
        <v>53.402054390575245</v>
      </c>
      <c r="L27" s="43">
        <f t="shared" si="6"/>
        <v>55.196884857442271</v>
      </c>
      <c r="M27" s="44"/>
    </row>
    <row r="28" spans="2:30" ht="15" thickBot="1">
      <c r="B28" s="14"/>
      <c r="C28" s="15" t="s">
        <v>81</v>
      </c>
      <c r="D28" s="45" t="s">
        <v>83</v>
      </c>
      <c r="E28" s="45"/>
      <c r="F28" s="46">
        <v>12</v>
      </c>
      <c r="G28" s="47"/>
      <c r="H28" s="47"/>
      <c r="I28" s="47"/>
      <c r="J28" s="47">
        <f>IFERROR(J27*(1-($R$16*($F28-$U$16))),"DNM")</f>
        <v>36.549733088284405</v>
      </c>
      <c r="K28" s="47">
        <f>IFERROR(K27*(1-($R$16*($F28-$U$16))),"DNM")</f>
        <v>48.19535408749416</v>
      </c>
      <c r="L28" s="47">
        <f>IFERROR(L27*(1-($R$16*($F28-$U$16))),"DNM")</f>
        <v>49.815188583841646</v>
      </c>
      <c r="M28" s="47"/>
    </row>
    <row r="29" spans="2:30" ht="16" thickTop="1" thickBot="1">
      <c r="B29" s="14"/>
      <c r="C29" s="15" t="s">
        <v>81</v>
      </c>
      <c r="D29" s="53" t="s">
        <v>84</v>
      </c>
      <c r="E29" s="53"/>
      <c r="F29" s="54">
        <v>9</v>
      </c>
      <c r="G29" s="65"/>
      <c r="H29" s="56"/>
      <c r="I29" s="56"/>
      <c r="J29" s="55">
        <f>J27</f>
        <v>40.498319211395462</v>
      </c>
      <c r="K29" s="55">
        <f>K27</f>
        <v>53.402054390575245</v>
      </c>
      <c r="L29" s="55">
        <f>L27</f>
        <v>55.196884857442271</v>
      </c>
      <c r="M29" s="56"/>
      <c r="P29" s="66">
        <v>1</v>
      </c>
      <c r="Q29" s="67" t="s">
        <v>15</v>
      </c>
      <c r="R29" s="66">
        <f>IF(ISBLANK(INDEX($G$4:$M$46,AdminSetPosition,1)),0,1)</f>
        <v>0</v>
      </c>
      <c r="S29" s="66">
        <f>IF(R29=0,IF(R30=0,IF(R31=0,IF(R32=0,IF(R33=0,IF(R34=0,IF(R35=0,7),6),5),4),3),2),1)</f>
        <v>6</v>
      </c>
      <c r="T29" t="str">
        <f>IFERROR(IF(S29=0,"",VLOOKUP(S29,$P$29:$Q$35,2,FALSE)),"")</f>
        <v>Infuset-930</v>
      </c>
    </row>
    <row r="30" spans="2:30" ht="15" thickTop="1">
      <c r="B30" s="14"/>
      <c r="C30" s="15" t="s">
        <v>85</v>
      </c>
      <c r="D30" s="68"/>
      <c r="E30" s="36" t="s">
        <v>86</v>
      </c>
      <c r="F30" s="18">
        <v>6</v>
      </c>
      <c r="G30" s="37"/>
      <c r="H30" s="37"/>
      <c r="I30" s="37"/>
      <c r="J30" s="37"/>
      <c r="K30" s="37"/>
      <c r="L30" s="37">
        <f>IFERROR(L31*(1-($R$16*($F30-$U$16))),"DNM")</f>
        <v>43.039641420511934</v>
      </c>
      <c r="M30" s="37">
        <f>IFERROR(M31*(1-($R$16*($F30-$U$16))),"DNM")</f>
        <v>57.533531563172986</v>
      </c>
      <c r="P30" s="66">
        <v>2</v>
      </c>
      <c r="Q30" s="67" t="s">
        <v>16</v>
      </c>
      <c r="R30" s="66">
        <f>IF(ISBLANK(INDEX($G$4:$M$46,AdminSetPosition,2)),0,1)</f>
        <v>0</v>
      </c>
      <c r="S30" s="66">
        <f>IF(S29=0,0,IF(INDEX($R$29:$R$42,S29+1)=0,IF(INDEX($R$29:$R$42,S29+2)=0,IF(INDEX($R$29:$R$42,S29+3)=0,0,S29+3),S29+2),S29+1))</f>
        <v>7</v>
      </c>
      <c r="T30" t="str">
        <f t="shared" ref="T30:T35" si="7">IFERROR(IF(S30=0,"",VLOOKUP(S30,$P$29:$Q$35,2,FALSE)),"")</f>
        <v>Infuset-1850</v>
      </c>
    </row>
    <row r="31" spans="2:30" ht="14">
      <c r="B31" s="14"/>
      <c r="C31" s="15" t="s">
        <v>85</v>
      </c>
      <c r="D31" s="68"/>
      <c r="E31" s="30" t="s">
        <v>87</v>
      </c>
      <c r="F31" s="31">
        <v>9</v>
      </c>
      <c r="G31" s="32"/>
      <c r="H31" s="33"/>
      <c r="I31" s="33"/>
      <c r="J31" s="33"/>
      <c r="K31" s="33"/>
      <c r="L31" s="34">
        <f t="shared" ref="L31:M31" si="8">L74*(1+L$95)</f>
        <v>39.216074187254613</v>
      </c>
      <c r="M31" s="34">
        <f t="shared" si="8"/>
        <v>52.422352221569923</v>
      </c>
      <c r="P31" s="66">
        <v>3</v>
      </c>
      <c r="Q31" s="67" t="s">
        <v>17</v>
      </c>
      <c r="R31" s="66">
        <f>IF(ISBLANK(INDEX($G$4:$M$46,AdminSetPosition,3)),0,1)</f>
        <v>0</v>
      </c>
      <c r="S31" s="66">
        <f t="shared" ref="S31:S35" si="9">IF(S30=0,0,IF(INDEX($R$29:$R$42,S30+1)=0,IF(INDEX($R$29:$R$42,S30+2)=0,IF(INDEX($R$29:$R$42,S30+3)=0,0,S30+3),S30+2),S30+1))</f>
        <v>0</v>
      </c>
      <c r="T31" t="str">
        <f t="shared" si="7"/>
        <v/>
      </c>
    </row>
    <row r="32" spans="2:30" ht="14">
      <c r="B32" s="14"/>
      <c r="C32" s="15" t="s">
        <v>85</v>
      </c>
      <c r="D32" s="68"/>
      <c r="E32" s="25" t="s">
        <v>88</v>
      </c>
      <c r="F32" s="26">
        <v>12</v>
      </c>
      <c r="G32" s="19"/>
      <c r="H32" s="19"/>
      <c r="I32" s="19"/>
      <c r="J32" s="19"/>
      <c r="K32" s="19"/>
      <c r="L32" s="19">
        <f>IFERROR(L31*(1-($R$16*($F32-$U$16))),"DNM")</f>
        <v>35.392506953997284</v>
      </c>
      <c r="M32" s="19">
        <f>IFERROR(M31*(1-($R$16*($F32-$U$16))),"DNM")</f>
        <v>47.311172879966854</v>
      </c>
      <c r="P32" s="66">
        <v>4</v>
      </c>
      <c r="Q32" s="69" t="s">
        <v>18</v>
      </c>
      <c r="R32" s="66">
        <f>IF(ISBLANK(INDEX($G$4:$M$46,AdminSetPosition,4)),0,1)</f>
        <v>0</v>
      </c>
      <c r="S32" s="66">
        <f t="shared" si="9"/>
        <v>0</v>
      </c>
      <c r="T32" t="str">
        <f t="shared" si="7"/>
        <v/>
      </c>
    </row>
    <row r="33" spans="2:20" ht="14">
      <c r="B33" s="14"/>
      <c r="C33" s="15" t="s">
        <v>85</v>
      </c>
      <c r="D33" s="68"/>
      <c r="E33" s="25" t="s">
        <v>89</v>
      </c>
      <c r="F33" s="26">
        <v>14</v>
      </c>
      <c r="G33" s="19"/>
      <c r="H33" s="19"/>
      <c r="I33" s="19"/>
      <c r="J33" s="19"/>
      <c r="K33" s="19"/>
      <c r="L33" s="19">
        <f>IFERROR(L31*(1-($R$16*($F33-$U$16))),"DNM")</f>
        <v>32.843462131825738</v>
      </c>
      <c r="M33" s="19">
        <f>IFERROR(M31*(1-($R$16*($F33-$U$16))),"DNM")</f>
        <v>43.903719985564813</v>
      </c>
      <c r="P33" s="66">
        <v>5</v>
      </c>
      <c r="Q33" s="69" t="s">
        <v>19</v>
      </c>
      <c r="R33" s="66">
        <f>IF(ISBLANK(INDEX($G$4:$M$46,AdminSetPosition,5)),0,1)</f>
        <v>0</v>
      </c>
      <c r="S33" s="66">
        <f t="shared" si="9"/>
        <v>0</v>
      </c>
      <c r="T33" t="str">
        <f t="shared" si="7"/>
        <v/>
      </c>
    </row>
    <row r="34" spans="2:20" ht="14">
      <c r="B34" s="14"/>
      <c r="C34" s="15" t="s">
        <v>85</v>
      </c>
      <c r="D34" s="68"/>
      <c r="E34" s="36" t="s">
        <v>90</v>
      </c>
      <c r="F34" s="18">
        <v>6</v>
      </c>
      <c r="G34" s="37"/>
      <c r="H34" s="37"/>
      <c r="I34" s="37"/>
      <c r="J34" s="37"/>
      <c r="K34" s="37"/>
      <c r="L34" s="37">
        <f>IFERROR(L35*(1-($R$16*($F34-$U$16))),"DNM")</f>
        <v>43.039641420511934</v>
      </c>
      <c r="M34" s="37">
        <f>IFERROR(M35*(1-($R$16*($F34-$U$16))),"DNM")</f>
        <v>57.533531563172986</v>
      </c>
      <c r="P34" s="66">
        <v>6</v>
      </c>
      <c r="Q34" s="69" t="s">
        <v>20</v>
      </c>
      <c r="R34" s="66">
        <f>IF(ISBLANK(INDEX($G$4:$M$46,AdminSetPosition,6)),0,1)</f>
        <v>1</v>
      </c>
      <c r="S34" s="66">
        <f t="shared" si="9"/>
        <v>0</v>
      </c>
      <c r="T34" t="str">
        <f t="shared" si="7"/>
        <v/>
      </c>
    </row>
    <row r="35" spans="2:20" ht="14">
      <c r="B35" s="14"/>
      <c r="C35" s="15" t="s">
        <v>85</v>
      </c>
      <c r="D35" s="68"/>
      <c r="E35" s="39" t="s">
        <v>91</v>
      </c>
      <c r="F35" s="31">
        <v>9</v>
      </c>
      <c r="G35" s="32"/>
      <c r="H35" s="33"/>
      <c r="I35" s="33"/>
      <c r="J35" s="33"/>
      <c r="K35" s="33"/>
      <c r="L35" s="34">
        <f>L31</f>
        <v>39.216074187254613</v>
      </c>
      <c r="M35" s="34">
        <f>M31</f>
        <v>52.422352221569923</v>
      </c>
      <c r="P35" s="66">
        <v>7</v>
      </c>
      <c r="Q35" s="69" t="s">
        <v>21</v>
      </c>
      <c r="R35" s="66">
        <f>IF(ISBLANK(INDEX($G$4:$M$46,AdminSetPosition,7)),0,1)</f>
        <v>1</v>
      </c>
      <c r="S35" s="66">
        <f t="shared" si="9"/>
        <v>0</v>
      </c>
      <c r="T35" t="str">
        <f t="shared" si="7"/>
        <v/>
      </c>
    </row>
    <row r="36" spans="2:20" ht="15" thickBot="1">
      <c r="B36" s="14"/>
      <c r="C36" s="15" t="s">
        <v>85</v>
      </c>
      <c r="D36" s="68"/>
      <c r="E36" s="61" t="s">
        <v>92</v>
      </c>
      <c r="F36" s="62">
        <v>12</v>
      </c>
      <c r="G36" s="63"/>
      <c r="H36" s="63"/>
      <c r="I36" s="63"/>
      <c r="J36" s="63"/>
      <c r="K36" s="63"/>
      <c r="L36" s="63">
        <f>IFERROR(L35*(1-($R$16*($F36-$U$16))),"DNM")</f>
        <v>35.392506953997284</v>
      </c>
      <c r="M36" s="63">
        <f>IFERROR(M35*(1-($R$16*($F36-$U$16))),"DNM")</f>
        <v>47.311172879966854</v>
      </c>
    </row>
    <row r="37" spans="2:20" ht="15" thickTop="1">
      <c r="B37" s="14"/>
      <c r="C37" s="15" t="s">
        <v>93</v>
      </c>
      <c r="D37" s="41" t="s">
        <v>94</v>
      </c>
      <c r="E37" s="41"/>
      <c r="F37" s="42">
        <v>9</v>
      </c>
      <c r="G37" s="64"/>
      <c r="H37" s="44"/>
      <c r="I37" s="44"/>
      <c r="J37" s="43">
        <f t="shared" ref="J37:L37" si="10">J80*(1+J$95)</f>
        <v>40.271731458842751</v>
      </c>
      <c r="K37" s="43">
        <f t="shared" si="10"/>
        <v>51.992070638217399</v>
      </c>
      <c r="L37" s="43">
        <f t="shared" si="10"/>
        <v>55.297694875905641</v>
      </c>
      <c r="M37" s="44"/>
    </row>
    <row r="38" spans="2:20" ht="15" thickBot="1">
      <c r="B38" s="14"/>
      <c r="C38" s="15" t="s">
        <v>93</v>
      </c>
      <c r="D38" s="45" t="s">
        <v>95</v>
      </c>
      <c r="E38" s="45"/>
      <c r="F38" s="46">
        <v>12</v>
      </c>
      <c r="G38" s="47"/>
      <c r="H38" s="47"/>
      <c r="I38" s="47"/>
      <c r="J38" s="47">
        <f>IFERROR(J37*(1-($R$16*($F38-$U$16))),"DNM")</f>
        <v>36.345237641605578</v>
      </c>
      <c r="K38" s="47">
        <f>IFERROR(K37*(1-($R$16*($F38-$U$16))),"DNM")</f>
        <v>46.922843750991198</v>
      </c>
      <c r="L38" s="47">
        <f>IFERROR(L37*(1-($R$16*($F38-$U$16))),"DNM")</f>
        <v>49.906169625504837</v>
      </c>
      <c r="M38" s="47"/>
    </row>
    <row r="39" spans="2:20" ht="15" thickTop="1">
      <c r="B39" s="14"/>
      <c r="C39" s="15" t="s">
        <v>96</v>
      </c>
      <c r="D39" s="68"/>
      <c r="E39" s="36" t="s">
        <v>97</v>
      </c>
      <c r="F39" s="18">
        <v>6</v>
      </c>
      <c r="G39" s="37"/>
      <c r="H39" s="37"/>
      <c r="I39" s="37"/>
      <c r="J39" s="37"/>
      <c r="K39" s="37"/>
      <c r="L39" s="37">
        <f>IFERROR(L40*(1-($R$16*($F39-$U$16))),"DNM")</f>
        <v>49.127487266975699</v>
      </c>
      <c r="M39" s="37">
        <f>IFERROR(M40*(1-($R$16*($F39-$U$16))),"DNM")</f>
        <v>67.652707473221966</v>
      </c>
    </row>
    <row r="40" spans="2:20" ht="14">
      <c r="B40" s="14"/>
      <c r="C40" s="15" t="s">
        <v>96</v>
      </c>
      <c r="D40" s="68"/>
      <c r="E40" s="30" t="s">
        <v>98</v>
      </c>
      <c r="F40" s="31">
        <v>9</v>
      </c>
      <c r="G40" s="32"/>
      <c r="H40" s="33"/>
      <c r="I40" s="33"/>
      <c r="J40" s="33"/>
      <c r="K40" s="33"/>
      <c r="L40" s="34">
        <f t="shared" ref="L40:M40" si="11">L83*(1+L$95)</f>
        <v>44.763086348041639</v>
      </c>
      <c r="M40" s="34">
        <f t="shared" si="11"/>
        <v>61.64255806216125</v>
      </c>
    </row>
    <row r="41" spans="2:20" ht="14">
      <c r="B41" s="14"/>
      <c r="C41" s="15" t="s">
        <v>96</v>
      </c>
      <c r="D41" s="68"/>
      <c r="E41" s="70" t="s">
        <v>99</v>
      </c>
      <c r="F41" s="71">
        <v>9</v>
      </c>
      <c r="G41" s="72"/>
      <c r="H41" s="73"/>
      <c r="I41" s="73"/>
      <c r="J41" s="73"/>
      <c r="K41" s="73"/>
      <c r="L41" s="74">
        <f>L40</f>
        <v>44.763086348041639</v>
      </c>
      <c r="M41" s="74">
        <f>M40</f>
        <v>61.64255806216125</v>
      </c>
    </row>
    <row r="42" spans="2:20" ht="15" thickBot="1">
      <c r="B42" s="14"/>
      <c r="C42" s="15" t="s">
        <v>100</v>
      </c>
      <c r="D42" s="75" t="s">
        <v>101</v>
      </c>
      <c r="E42" s="75"/>
      <c r="F42" s="54">
        <v>12</v>
      </c>
      <c r="G42" s="56"/>
      <c r="H42" s="56"/>
      <c r="I42" s="56"/>
      <c r="J42" s="55">
        <f t="shared" ref="J42:L42" si="12">J85*(1+J$95)</f>
        <v>40.827713771022331</v>
      </c>
      <c r="K42" s="55"/>
      <c r="L42" s="55">
        <f t="shared" si="12"/>
        <v>55.207768962400714</v>
      </c>
      <c r="M42" s="56"/>
    </row>
    <row r="43" spans="2:20" ht="15" thickTop="1">
      <c r="B43" s="14"/>
      <c r="C43" s="15" t="s">
        <v>102</v>
      </c>
      <c r="E43" s="36" t="s">
        <v>103</v>
      </c>
      <c r="F43" s="18">
        <v>6</v>
      </c>
      <c r="G43" s="37"/>
      <c r="H43" s="37"/>
      <c r="I43" s="37"/>
      <c r="J43" s="37"/>
      <c r="K43" s="37">
        <f>IFERROR(K44*(1-($R$16*($F43-$U$16))),"DNM")</f>
        <v>48.297347685862761</v>
      </c>
      <c r="L43" s="37">
        <f>IFERROR(L44*(1-($R$16*($F43-$U$16))),"DNM")</f>
        <v>49.857731713056907</v>
      </c>
      <c r="M43" s="37">
        <f>IFERROR(M44*(1-($R$16*($F43-$U$16))),"DNM")</f>
        <v>82.481156706843024</v>
      </c>
    </row>
    <row r="44" spans="2:20" ht="14">
      <c r="B44" s="14"/>
      <c r="C44" s="15" t="s">
        <v>102</v>
      </c>
      <c r="E44" s="30" t="s">
        <v>104</v>
      </c>
      <c r="F44" s="31">
        <v>9</v>
      </c>
      <c r="G44" s="32"/>
      <c r="H44" s="33"/>
      <c r="I44" s="33"/>
      <c r="J44" s="33"/>
      <c r="K44" s="34">
        <f t="shared" ref="K44:M44" si="13">K87*(1+K$95)</f>
        <v>44.006694930171086</v>
      </c>
      <c r="L44" s="34">
        <f t="shared" si="13"/>
        <v>45.428457141737503</v>
      </c>
      <c r="M44" s="34">
        <f t="shared" si="13"/>
        <v>75.153673536986815</v>
      </c>
    </row>
    <row r="45" spans="2:20" ht="15" thickBot="1">
      <c r="B45" s="14"/>
      <c r="C45" s="15" t="s">
        <v>102</v>
      </c>
      <c r="E45" s="76" t="s">
        <v>105</v>
      </c>
      <c r="F45" s="77">
        <v>9</v>
      </c>
      <c r="G45" s="78"/>
      <c r="H45" s="79"/>
      <c r="I45" s="79"/>
      <c r="J45" s="79"/>
      <c r="K45" s="80">
        <f>K44</f>
        <v>44.006694930171086</v>
      </c>
      <c r="L45" s="80">
        <f>L44</f>
        <v>45.428457141737503</v>
      </c>
      <c r="M45" s="80">
        <f>M44</f>
        <v>75.153673536986815</v>
      </c>
    </row>
    <row r="46" spans="2:20" ht="16" thickTop="1" thickBot="1">
      <c r="B46" s="14"/>
      <c r="C46" s="15" t="s">
        <v>106</v>
      </c>
      <c r="D46" s="75" t="s">
        <v>107</v>
      </c>
      <c r="E46" s="75"/>
      <c r="F46" s="54">
        <v>12</v>
      </c>
      <c r="G46" s="56"/>
      <c r="H46" s="56"/>
      <c r="I46" s="56"/>
      <c r="J46" s="55">
        <f t="shared" ref="J46:L46" si="14">J89*(1+J$95)</f>
        <v>40.430156256219377</v>
      </c>
      <c r="K46" s="55">
        <f t="shared" si="14"/>
        <v>51.333354315323412</v>
      </c>
      <c r="L46" s="55">
        <f t="shared" si="14"/>
        <v>57.134011250401841</v>
      </c>
      <c r="M46" s="56"/>
    </row>
    <row r="47" spans="2:20" ht="15" thickTop="1">
      <c r="B47" s="81" t="s">
        <v>7</v>
      </c>
      <c r="C47" s="15" t="s">
        <v>27</v>
      </c>
      <c r="D47" s="16"/>
      <c r="E47" s="17" t="s">
        <v>28</v>
      </c>
      <c r="F47" s="18">
        <v>4</v>
      </c>
      <c r="G47" s="19"/>
      <c r="H47" s="19"/>
      <c r="I47" s="19"/>
      <c r="J47" s="19">
        <f>IFERROR(J49*(1-($R$16*($F47-$U$16))),"DNM")</f>
        <v>15.936134779091619</v>
      </c>
      <c r="K47" s="19">
        <f>IFERROR(K49*(1-($R$16*($F47-$U$16))),"DNM")</f>
        <v>17.847867001145833</v>
      </c>
      <c r="L47" s="19"/>
      <c r="M47" s="19">
        <f>IFERROR(M49*(1-($R$16*($F47-$U$16))),"DNM")</f>
        <v>20.079718407147418</v>
      </c>
    </row>
    <row r="48" spans="2:20" ht="14">
      <c r="B48" s="81"/>
      <c r="C48" s="15" t="s">
        <v>27</v>
      </c>
      <c r="D48" s="16"/>
      <c r="E48" s="25" t="s">
        <v>31</v>
      </c>
      <c r="F48" s="26">
        <v>6</v>
      </c>
      <c r="G48" s="19"/>
      <c r="H48" s="19"/>
      <c r="I48" s="19"/>
      <c r="J48" s="19">
        <f>IFERROR(J49*(1-($R$16*($F48-$U$16))),"DNM")</f>
        <v>15.045082081766063</v>
      </c>
      <c r="K48" s="19">
        <f>IFERROR(K49*(1-($R$16*($F48-$U$16))),"DNM")</f>
        <v>16.849921749468862</v>
      </c>
      <c r="L48" s="19"/>
      <c r="M48" s="19">
        <f>IFERROR(M49*(1-($R$16*($F48-$U$16))),"DNM")</f>
        <v>18.956981463952072</v>
      </c>
    </row>
    <row r="49" spans="2:13" ht="14">
      <c r="B49" s="81"/>
      <c r="C49" s="15" t="s">
        <v>27</v>
      </c>
      <c r="D49" s="16"/>
      <c r="E49" s="30" t="s">
        <v>33</v>
      </c>
      <c r="F49" s="31">
        <v>9</v>
      </c>
      <c r="G49" s="32"/>
      <c r="H49" s="33"/>
      <c r="I49" s="33"/>
      <c r="J49" s="33">
        <v>13.708503035777735</v>
      </c>
      <c r="K49" s="33">
        <v>15.353003871953405</v>
      </c>
      <c r="L49" s="33"/>
      <c r="M49" s="33">
        <v>17.272876049159066</v>
      </c>
    </row>
    <row r="50" spans="2:13" ht="14">
      <c r="B50" s="81"/>
      <c r="C50" s="15" t="s">
        <v>27</v>
      </c>
      <c r="D50" s="16"/>
      <c r="E50" s="36" t="s">
        <v>36</v>
      </c>
      <c r="F50" s="18">
        <v>6</v>
      </c>
      <c r="G50" s="37"/>
      <c r="H50" s="37"/>
      <c r="I50" s="37"/>
      <c r="J50" s="37">
        <f>IFERROR(J51*(1-($R$16*($F50-$U$16))),"DNM")</f>
        <v>15.045082081766063</v>
      </c>
      <c r="K50" s="37">
        <f>IFERROR(K51*(1-($R$16*($F50-$U$16))),"DNM")</f>
        <v>16.849921749468862</v>
      </c>
      <c r="L50" s="37"/>
      <c r="M50" s="37">
        <f>IFERROR(M51*(1-($R$16*($F50-$U$16))),"DNM")</f>
        <v>18.956981463952072</v>
      </c>
    </row>
    <row r="51" spans="2:13" ht="14">
      <c r="B51" s="81"/>
      <c r="C51" s="15" t="s">
        <v>27</v>
      </c>
      <c r="D51" s="16"/>
      <c r="E51" s="39" t="s">
        <v>38</v>
      </c>
      <c r="F51" s="31">
        <v>9</v>
      </c>
      <c r="G51" s="32"/>
      <c r="H51" s="33"/>
      <c r="I51" s="33"/>
      <c r="J51" s="33">
        <f>J49</f>
        <v>13.708503035777735</v>
      </c>
      <c r="K51" s="33">
        <f>K49</f>
        <v>15.353003871953405</v>
      </c>
      <c r="L51" s="33"/>
      <c r="M51" s="33">
        <f>M49</f>
        <v>17.272876049159066</v>
      </c>
    </row>
    <row r="52" spans="2:13" ht="14">
      <c r="B52" s="81"/>
      <c r="C52" s="15" t="s">
        <v>41</v>
      </c>
      <c r="D52" s="41" t="s">
        <v>42</v>
      </c>
      <c r="E52" s="41"/>
      <c r="F52" s="42">
        <v>9</v>
      </c>
      <c r="G52" s="44">
        <v>11.639875251552732</v>
      </c>
      <c r="H52" s="44">
        <v>16.026662523964362</v>
      </c>
      <c r="I52" s="44">
        <v>22.539984603762409</v>
      </c>
      <c r="J52" s="44">
        <v>29.738751814223505</v>
      </c>
      <c r="K52" s="44"/>
      <c r="L52" s="44"/>
      <c r="M52" s="44"/>
    </row>
    <row r="53" spans="2:13" ht="15" thickBot="1">
      <c r="B53" s="81"/>
      <c r="C53" s="15" t="s">
        <v>41</v>
      </c>
      <c r="D53" s="45" t="s">
        <v>45</v>
      </c>
      <c r="E53" s="45"/>
      <c r="F53" s="46">
        <v>12</v>
      </c>
      <c r="G53" s="47">
        <f>IFERROR(G52*(1-($R$16*($F53-$U$16))),"DNM")</f>
        <v>10.50498741452634</v>
      </c>
      <c r="H53" s="47">
        <f>IFERROR(H52*(1-($R$16*($F53-$U$16))),"DNM")</f>
        <v>14.464062927877835</v>
      </c>
      <c r="I53" s="47">
        <f>IFERROR(I52*(1-($R$16*($F53-$U$16))),"DNM")</f>
        <v>20.342336104895573</v>
      </c>
      <c r="J53" s="47">
        <f>IFERROR(J52*(1-($R$16*($F53-$U$16))),"DNM")</f>
        <v>26.839223512336712</v>
      </c>
      <c r="K53" s="47"/>
      <c r="L53" s="47"/>
      <c r="M53" s="47"/>
    </row>
    <row r="54" spans="2:13" ht="15" thickTop="1">
      <c r="B54" s="81"/>
      <c r="C54" s="15" t="s">
        <v>41</v>
      </c>
      <c r="D54" s="49" t="s">
        <v>48</v>
      </c>
      <c r="E54" s="49"/>
      <c r="F54" s="50">
        <v>6</v>
      </c>
      <c r="G54" s="51">
        <f>IFERROR(G55*(1-($R$16*($F54-$U$16))),"DNM")</f>
        <v>12.774763088579123</v>
      </c>
      <c r="H54" s="51">
        <f>IFERROR(H55*(1-($R$16*($F54-$U$16))),"DNM")</f>
        <v>17.589262120050886</v>
      </c>
      <c r="I54" s="51">
        <f>IFERROR(I55*(1-($R$16*($F54-$U$16))),"DNM")</f>
        <v>24.737633102629243</v>
      </c>
      <c r="J54" s="51">
        <f>IFERROR(J55*(1-($R$16*($F54-$U$16))),"DNM")</f>
        <v>32.638280116110295</v>
      </c>
      <c r="K54" s="51"/>
      <c r="L54" s="51"/>
      <c r="M54" s="51"/>
    </row>
    <row r="55" spans="2:13" ht="15" thickBot="1">
      <c r="B55" s="81"/>
      <c r="C55" s="15" t="s">
        <v>41</v>
      </c>
      <c r="D55" s="53" t="s">
        <v>50</v>
      </c>
      <c r="E55" s="53"/>
      <c r="F55" s="54">
        <v>9</v>
      </c>
      <c r="G55" s="56">
        <f t="shared" ref="G55:J55" si="15">G52</f>
        <v>11.639875251552732</v>
      </c>
      <c r="H55" s="56">
        <f t="shared" si="15"/>
        <v>16.026662523964362</v>
      </c>
      <c r="I55" s="56">
        <f t="shared" si="15"/>
        <v>22.539984603762409</v>
      </c>
      <c r="J55" s="56">
        <f t="shared" si="15"/>
        <v>29.738751814223505</v>
      </c>
      <c r="K55" s="56"/>
      <c r="L55" s="56"/>
      <c r="M55" s="56"/>
    </row>
    <row r="56" spans="2:13" ht="15" thickTop="1">
      <c r="B56" s="81"/>
      <c r="C56" s="15" t="s">
        <v>53</v>
      </c>
      <c r="D56" s="16"/>
      <c r="E56" s="36" t="s">
        <v>54</v>
      </c>
      <c r="F56" s="18">
        <v>4</v>
      </c>
      <c r="G56" s="37"/>
      <c r="H56" s="37"/>
      <c r="I56" s="37"/>
      <c r="J56" s="37"/>
      <c r="K56" s="37"/>
      <c r="L56" s="37">
        <f>IFERROR(L58*(1-($R$16*($F56-$U$16))),"DNM")</f>
        <v>29.103830973720658</v>
      </c>
      <c r="M56" s="37">
        <f>IFERROR(M58*(1-($R$16*($F56-$U$16))),"DNM")</f>
        <v>34.364441985166117</v>
      </c>
    </row>
    <row r="57" spans="2:13" ht="14">
      <c r="B57" s="81"/>
      <c r="C57" s="15" t="s">
        <v>53</v>
      </c>
      <c r="D57" s="16"/>
      <c r="E57" s="25" t="s">
        <v>57</v>
      </c>
      <c r="F57" s="26">
        <v>6</v>
      </c>
      <c r="G57" s="19"/>
      <c r="H57" s="19"/>
      <c r="I57" s="19"/>
      <c r="J57" s="19"/>
      <c r="K57" s="19"/>
      <c r="L57" s="19">
        <f>IFERROR(L58*(1-($R$16*($F57-$U$16))),"DNM")</f>
        <v>27.476519994544876</v>
      </c>
      <c r="M57" s="19">
        <f>IFERROR(M58*(1-($R$16*($F57-$U$16))),"DNM")</f>
        <v>32.442989315027795</v>
      </c>
    </row>
    <row r="58" spans="2:13" ht="14">
      <c r="B58" s="81"/>
      <c r="C58" s="15" t="s">
        <v>53</v>
      </c>
      <c r="D58" s="16"/>
      <c r="E58" s="30" t="s">
        <v>23</v>
      </c>
      <c r="F58" s="31">
        <v>9</v>
      </c>
      <c r="G58" s="32"/>
      <c r="H58" s="33"/>
      <c r="I58" s="33"/>
      <c r="J58" s="33"/>
      <c r="K58" s="33"/>
      <c r="L58" s="33">
        <v>25.035553525781211</v>
      </c>
      <c r="M58" s="33">
        <v>29.560810309820315</v>
      </c>
    </row>
    <row r="59" spans="2:13" ht="14">
      <c r="B59" s="81"/>
      <c r="C59" s="15" t="s">
        <v>53</v>
      </c>
      <c r="D59" s="16"/>
      <c r="E59" s="25" t="s">
        <v>61</v>
      </c>
      <c r="F59" s="26">
        <v>12</v>
      </c>
      <c r="G59" s="19"/>
      <c r="H59" s="19"/>
      <c r="I59" s="19"/>
      <c r="J59" s="19"/>
      <c r="K59" s="19"/>
      <c r="L59" s="19">
        <f>IFERROR(L58*(1-($R$16*($F59-$U$16))),"DNM")</f>
        <v>22.594587057017542</v>
      </c>
      <c r="M59" s="19">
        <f>IFERROR(M58*(1-($R$16*($F59-$U$16))),"DNM")</f>
        <v>26.678631304612832</v>
      </c>
    </row>
    <row r="60" spans="2:13" ht="14">
      <c r="B60" s="81"/>
      <c r="C60" s="15" t="s">
        <v>53</v>
      </c>
      <c r="D60" s="16"/>
      <c r="E60" s="36" t="s">
        <v>65</v>
      </c>
      <c r="F60" s="18">
        <v>6</v>
      </c>
      <c r="G60" s="37"/>
      <c r="H60" s="37"/>
      <c r="I60" s="37"/>
      <c r="J60" s="37"/>
      <c r="K60" s="37"/>
      <c r="L60" s="37">
        <f>IFERROR(L61*(1-($R$16*($F60-$U$16))),"DNM")</f>
        <v>27.476519994544876</v>
      </c>
      <c r="M60" s="37">
        <f>IFERROR(M61*(1-($R$16*($F60-$U$16))),"DNM")</f>
        <v>32.442989315027795</v>
      </c>
    </row>
    <row r="61" spans="2:13" ht="14">
      <c r="B61" s="81"/>
      <c r="C61" s="15" t="s">
        <v>53</v>
      </c>
      <c r="D61" s="16"/>
      <c r="E61" s="39" t="s">
        <v>67</v>
      </c>
      <c r="F61" s="31">
        <v>9</v>
      </c>
      <c r="G61" s="32"/>
      <c r="H61" s="33"/>
      <c r="I61" s="33"/>
      <c r="J61" s="33"/>
      <c r="K61" s="33"/>
      <c r="L61" s="33">
        <f>L58</f>
        <v>25.035553525781211</v>
      </c>
      <c r="M61" s="33">
        <f>M58</f>
        <v>29.560810309820315</v>
      </c>
    </row>
    <row r="62" spans="2:13" ht="15" thickBot="1">
      <c r="B62" s="81"/>
      <c r="C62" s="15" t="s">
        <v>53</v>
      </c>
      <c r="D62" s="16"/>
      <c r="E62" s="61" t="s">
        <v>68</v>
      </c>
      <c r="F62" s="62">
        <v>12</v>
      </c>
      <c r="G62" s="63"/>
      <c r="H62" s="63"/>
      <c r="I62" s="63"/>
      <c r="J62" s="63"/>
      <c r="K62" s="63"/>
      <c r="L62" s="63">
        <f>IFERROR(L61*(1-($R$16*($F62-$U$16))),"DNM")</f>
        <v>22.594587057017542</v>
      </c>
      <c r="M62" s="63">
        <f>IFERROR(M61*(1-($R$16*($F62-$U$16))),"DNM")</f>
        <v>26.678631304612832</v>
      </c>
    </row>
    <row r="63" spans="2:13" ht="15" thickTop="1">
      <c r="B63" s="81"/>
      <c r="C63" s="15" t="s">
        <v>69</v>
      </c>
      <c r="D63" s="41" t="s">
        <v>70</v>
      </c>
      <c r="E63" s="41"/>
      <c r="F63" s="42">
        <v>9</v>
      </c>
      <c r="G63" s="44"/>
      <c r="H63" s="44"/>
      <c r="I63" s="44">
        <v>26.011066329455964</v>
      </c>
      <c r="J63" s="44">
        <v>35.111499489602153</v>
      </c>
      <c r="K63" s="44">
        <v>48.339937907761517</v>
      </c>
      <c r="L63" s="44">
        <v>52.438349163081881</v>
      </c>
      <c r="M63" s="44"/>
    </row>
    <row r="64" spans="2:13" ht="15" thickBot="1">
      <c r="B64" s="81"/>
      <c r="C64" s="15" t="s">
        <v>69</v>
      </c>
      <c r="D64" s="45" t="s">
        <v>71</v>
      </c>
      <c r="E64" s="45"/>
      <c r="F64" s="46">
        <v>12</v>
      </c>
      <c r="G64" s="47"/>
      <c r="H64" s="47"/>
      <c r="I64" s="47">
        <f>IFERROR(I63*(1-($R$16*($F64-$U$16))),"DNM")</f>
        <v>23.474987362334009</v>
      </c>
      <c r="J64" s="47">
        <f>IFERROR(J63*(1-($R$16*($F64-$U$16))),"DNM")</f>
        <v>31.688128289365942</v>
      </c>
      <c r="K64" s="47">
        <f>IFERROR(K63*(1-($R$16*($F64-$U$16))),"DNM")</f>
        <v>43.626793961754764</v>
      </c>
      <c r="L64" s="47">
        <f>IFERROR(L63*(1-($R$16*($F64-$U$16))),"DNM")</f>
        <v>47.325610119681393</v>
      </c>
      <c r="M64" s="47"/>
    </row>
    <row r="65" spans="2:13" ht="15" thickTop="1">
      <c r="B65" s="81"/>
      <c r="C65" s="15" t="s">
        <v>74</v>
      </c>
      <c r="D65" s="16"/>
      <c r="E65" s="36" t="s">
        <v>75</v>
      </c>
      <c r="F65" s="18">
        <v>6</v>
      </c>
      <c r="G65" s="37"/>
      <c r="H65" s="37"/>
      <c r="I65" s="37"/>
      <c r="J65" s="37"/>
      <c r="K65" s="37"/>
      <c r="L65" s="37">
        <f>IFERROR(L66*(1-($R$16*($F65-$U$16))),"DNM")</f>
        <v>36.185650320850485</v>
      </c>
      <c r="M65" s="37">
        <f>IFERROR(M66*(1-($R$16*($F65-$U$16))),"DNM")</f>
        <v>46.792259942277674</v>
      </c>
    </row>
    <row r="66" spans="2:13" ht="14">
      <c r="B66" s="81"/>
      <c r="C66" s="15" t="s">
        <v>74</v>
      </c>
      <c r="D66" s="16"/>
      <c r="E66" s="30" t="s">
        <v>77</v>
      </c>
      <c r="F66" s="31">
        <v>9</v>
      </c>
      <c r="G66" s="32"/>
      <c r="H66" s="33"/>
      <c r="I66" s="33"/>
      <c r="J66" s="33"/>
      <c r="K66" s="33"/>
      <c r="L66" s="33">
        <v>32.970979791207732</v>
      </c>
      <c r="M66" s="33">
        <v>42.635316576107222</v>
      </c>
    </row>
    <row r="67" spans="2:13" ht="14">
      <c r="B67" s="81"/>
      <c r="C67" s="15" t="s">
        <v>74</v>
      </c>
      <c r="D67" s="16"/>
      <c r="E67" s="25" t="s">
        <v>78</v>
      </c>
      <c r="F67" s="26">
        <v>12</v>
      </c>
      <c r="G67" s="19"/>
      <c r="H67" s="19"/>
      <c r="I67" s="19"/>
      <c r="J67" s="19"/>
      <c r="K67" s="19"/>
      <c r="L67" s="19">
        <f>IFERROR(L66*(1-($R$16*($F67-$U$16))),"DNM")</f>
        <v>29.756309261564976</v>
      </c>
      <c r="M67" s="19">
        <f>IFERROR(M66*(1-($R$16*($F67-$U$16))),"DNM")</f>
        <v>38.47837320993677</v>
      </c>
    </row>
    <row r="68" spans="2:13" ht="14">
      <c r="B68" s="81"/>
      <c r="C68" s="15" t="s">
        <v>74</v>
      </c>
      <c r="D68" s="16"/>
      <c r="E68" s="36" t="s">
        <v>79</v>
      </c>
      <c r="F68" s="18">
        <v>6</v>
      </c>
      <c r="G68" s="37"/>
      <c r="H68" s="37"/>
      <c r="I68" s="37"/>
      <c r="J68" s="37"/>
      <c r="K68" s="37"/>
      <c r="L68" s="37">
        <f>IFERROR(L69*(1-($R$16*($F68-$U$16))),"DNM")</f>
        <v>36.185650320850485</v>
      </c>
      <c r="M68" s="37">
        <f>IFERROR(M69*(1-($R$16*($F68-$U$16))),"DNM")</f>
        <v>46.792259942277674</v>
      </c>
    </row>
    <row r="69" spans="2:13" ht="14">
      <c r="B69" s="81"/>
      <c r="C69" s="15" t="s">
        <v>74</v>
      </c>
      <c r="D69" s="16"/>
      <c r="E69" s="39" t="s">
        <v>80</v>
      </c>
      <c r="F69" s="31">
        <v>9</v>
      </c>
      <c r="G69" s="32"/>
      <c r="H69" s="33"/>
      <c r="I69" s="33"/>
      <c r="J69" s="33"/>
      <c r="K69" s="33"/>
      <c r="L69" s="33">
        <f>L66</f>
        <v>32.970979791207732</v>
      </c>
      <c r="M69" s="33">
        <f>M66</f>
        <v>42.635316576107222</v>
      </c>
    </row>
    <row r="70" spans="2:13" ht="14">
      <c r="B70" s="81"/>
      <c r="C70" s="15" t="s">
        <v>81</v>
      </c>
      <c r="D70" s="41" t="s">
        <v>82</v>
      </c>
      <c r="E70" s="41"/>
      <c r="F70" s="42">
        <v>9</v>
      </c>
      <c r="G70" s="64"/>
      <c r="H70" s="44"/>
      <c r="I70" s="44"/>
      <c r="J70" s="44">
        <v>38.83855203060056</v>
      </c>
      <c r="K70" s="44">
        <v>49.218784523994081</v>
      </c>
      <c r="L70" s="44">
        <v>51.493579483620266</v>
      </c>
      <c r="M70" s="44"/>
    </row>
    <row r="71" spans="2:13" ht="15" thickBot="1">
      <c r="B71" s="81"/>
      <c r="C71" s="15" t="s">
        <v>81</v>
      </c>
      <c r="D71" s="45" t="s">
        <v>83</v>
      </c>
      <c r="E71" s="45"/>
      <c r="F71" s="46">
        <v>12</v>
      </c>
      <c r="G71" s="47"/>
      <c r="H71" s="47"/>
      <c r="I71" s="47"/>
      <c r="J71" s="47">
        <f>IFERROR(J70*(1-($R$16*($F71-$U$16))),"DNM")</f>
        <v>35.051793207617003</v>
      </c>
      <c r="K71" s="47">
        <f>IFERROR(K70*(1-($R$16*($F71-$U$16))),"DNM")</f>
        <v>44.419953032904658</v>
      </c>
      <c r="L71" s="47">
        <f>IFERROR(L70*(1-($R$16*($F71-$U$16))),"DNM")</f>
        <v>46.47295548396729</v>
      </c>
      <c r="M71" s="47"/>
    </row>
    <row r="72" spans="2:13" ht="16" thickTop="1" thickBot="1">
      <c r="B72" s="81"/>
      <c r="C72" s="15" t="s">
        <v>81</v>
      </c>
      <c r="D72" s="53" t="s">
        <v>84</v>
      </c>
      <c r="E72" s="53"/>
      <c r="F72" s="54">
        <v>9</v>
      </c>
      <c r="G72" s="65"/>
      <c r="H72" s="56"/>
      <c r="I72" s="56"/>
      <c r="J72" s="56">
        <f>J70</f>
        <v>38.83855203060056</v>
      </c>
      <c r="K72" s="56">
        <f>K70</f>
        <v>49.218784523994081</v>
      </c>
      <c r="L72" s="56">
        <f>L70</f>
        <v>51.493579483620266</v>
      </c>
      <c r="M72" s="56"/>
    </row>
    <row r="73" spans="2:13" ht="15" thickTop="1">
      <c r="B73" s="81"/>
      <c r="C73" s="15" t="s">
        <v>85</v>
      </c>
      <c r="D73" s="68"/>
      <c r="E73" s="36" t="s">
        <v>86</v>
      </c>
      <c r="F73" s="18">
        <v>6</v>
      </c>
      <c r="G73" s="37"/>
      <c r="H73" s="37"/>
      <c r="I73" s="37"/>
      <c r="J73" s="37"/>
      <c r="K73" s="37"/>
      <c r="L73" s="37">
        <f>IFERROR(L74*(1-($R$16*($F73-$U$16))),"DNM")</f>
        <v>40.151997746931265</v>
      </c>
      <c r="M73" s="37">
        <f>IFERROR(M74*(1-($R$16*($F73-$U$16))),"DNM")</f>
        <v>53.65515510511981</v>
      </c>
    </row>
    <row r="74" spans="2:13" ht="14">
      <c r="B74" s="81"/>
      <c r="C74" s="15" t="s">
        <v>85</v>
      </c>
      <c r="D74" s="68"/>
      <c r="E74" s="30" t="s">
        <v>87</v>
      </c>
      <c r="F74" s="31">
        <v>9</v>
      </c>
      <c r="G74" s="32"/>
      <c r="H74" s="33"/>
      <c r="I74" s="33"/>
      <c r="J74" s="33"/>
      <c r="K74" s="33"/>
      <c r="L74" s="33">
        <v>36.584963778525072</v>
      </c>
      <c r="M74" s="33">
        <v>48.888524013776596</v>
      </c>
    </row>
    <row r="75" spans="2:13" ht="14">
      <c r="B75" s="81"/>
      <c r="C75" s="15" t="s">
        <v>85</v>
      </c>
      <c r="D75" s="68"/>
      <c r="E75" s="25" t="s">
        <v>88</v>
      </c>
      <c r="F75" s="26">
        <v>12</v>
      </c>
      <c r="G75" s="19"/>
      <c r="H75" s="19"/>
      <c r="I75" s="19"/>
      <c r="J75" s="19"/>
      <c r="K75" s="19"/>
      <c r="L75" s="19">
        <f>IFERROR(L74*(1-($R$16*($F75-$U$16))),"DNM")</f>
        <v>33.017929810118879</v>
      </c>
      <c r="M75" s="19">
        <f>IFERROR(M74*(1-($R$16*($F75-$U$16))),"DNM")</f>
        <v>44.121892922433375</v>
      </c>
    </row>
    <row r="76" spans="2:13" ht="14">
      <c r="B76" s="81"/>
      <c r="C76" s="15" t="s">
        <v>85</v>
      </c>
      <c r="D76" s="68"/>
      <c r="E76" s="25" t="s">
        <v>89</v>
      </c>
      <c r="F76" s="26">
        <v>14</v>
      </c>
      <c r="G76" s="19"/>
      <c r="H76" s="19"/>
      <c r="I76" s="19"/>
      <c r="J76" s="19"/>
      <c r="K76" s="19"/>
      <c r="L76" s="19">
        <f>IFERROR(L74*(1-($R$16*($F76-$U$16))),"DNM")</f>
        <v>30.639907164514749</v>
      </c>
      <c r="M76" s="19">
        <f>IFERROR(M74*(1-($R$16*($F76-$U$16))),"DNM")</f>
        <v>40.944138861537901</v>
      </c>
    </row>
    <row r="77" spans="2:13" ht="14">
      <c r="B77" s="81"/>
      <c r="C77" s="15" t="s">
        <v>85</v>
      </c>
      <c r="D77" s="68"/>
      <c r="E77" s="36" t="s">
        <v>90</v>
      </c>
      <c r="F77" s="18">
        <v>6</v>
      </c>
      <c r="G77" s="37"/>
      <c r="H77" s="37"/>
      <c r="I77" s="37"/>
      <c r="J77" s="37"/>
      <c r="K77" s="37"/>
      <c r="L77" s="37">
        <f>IFERROR(L78*(1-($R$16*($F77-$U$16))),"DNM")</f>
        <v>40.151997746931265</v>
      </c>
      <c r="M77" s="37">
        <f>IFERROR(M78*(1-($R$16*($F77-$U$16))),"DNM")</f>
        <v>53.65515510511981</v>
      </c>
    </row>
    <row r="78" spans="2:13" ht="14">
      <c r="B78" s="81"/>
      <c r="C78" s="15" t="s">
        <v>85</v>
      </c>
      <c r="D78" s="68"/>
      <c r="E78" s="39" t="s">
        <v>91</v>
      </c>
      <c r="F78" s="31">
        <v>9</v>
      </c>
      <c r="G78" s="32"/>
      <c r="H78" s="33"/>
      <c r="I78" s="33"/>
      <c r="J78" s="33"/>
      <c r="K78" s="33"/>
      <c r="L78" s="33">
        <f>L74</f>
        <v>36.584963778525072</v>
      </c>
      <c r="M78" s="33">
        <f>M74</f>
        <v>48.888524013776596</v>
      </c>
    </row>
    <row r="79" spans="2:13" ht="15" thickBot="1">
      <c r="B79" s="81"/>
      <c r="C79" s="15" t="s">
        <v>85</v>
      </c>
      <c r="D79" s="68"/>
      <c r="E79" s="61" t="s">
        <v>92</v>
      </c>
      <c r="F79" s="62">
        <v>12</v>
      </c>
      <c r="G79" s="63"/>
      <c r="H79" s="63"/>
      <c r="I79" s="63"/>
      <c r="J79" s="63"/>
      <c r="K79" s="63"/>
      <c r="L79" s="63">
        <f>IFERROR(L78*(1-($R$16*($F79-$U$16))),"DNM")</f>
        <v>33.017929810118879</v>
      </c>
      <c r="M79" s="63">
        <f>IFERROR(M78*(1-($R$16*($F79-$U$16))),"DNM")</f>
        <v>44.121892922433375</v>
      </c>
    </row>
    <row r="80" spans="2:13" ht="15" thickTop="1">
      <c r="B80" s="81"/>
      <c r="C80" s="15" t="s">
        <v>93</v>
      </c>
      <c r="D80" s="41" t="s">
        <v>94</v>
      </c>
      <c r="E80" s="41"/>
      <c r="F80" s="42">
        <v>9</v>
      </c>
      <c r="G80" s="64"/>
      <c r="H80" s="44"/>
      <c r="I80" s="44"/>
      <c r="J80" s="44">
        <v>38.621250661349194</v>
      </c>
      <c r="K80" s="44">
        <v>47.919252375248107</v>
      </c>
      <c r="L80" s="44">
        <v>51.58762589062124</v>
      </c>
      <c r="M80" s="44"/>
    </row>
    <row r="81" spans="2:13" ht="15" thickBot="1">
      <c r="B81" s="81"/>
      <c r="C81" s="15" t="s">
        <v>93</v>
      </c>
      <c r="D81" s="45" t="s">
        <v>95</v>
      </c>
      <c r="E81" s="45"/>
      <c r="F81" s="46">
        <v>12</v>
      </c>
      <c r="G81" s="47"/>
      <c r="H81" s="47"/>
      <c r="I81" s="47"/>
      <c r="J81" s="47">
        <f>IFERROR(J80*(1-($R$16*($F81-$U$16))),"DNM")</f>
        <v>34.855678721867648</v>
      </c>
      <c r="K81" s="47">
        <f>IFERROR(K80*(1-($R$16*($F81-$U$16))),"DNM")</f>
        <v>43.247125268661414</v>
      </c>
      <c r="L81" s="47">
        <f>IFERROR(L80*(1-($R$16*($F81-$U$16))),"DNM")</f>
        <v>46.557832366285666</v>
      </c>
      <c r="M81" s="47"/>
    </row>
    <row r="82" spans="2:13" ht="15" thickTop="1">
      <c r="B82" s="81"/>
      <c r="C82" s="15" t="s">
        <v>96</v>
      </c>
      <c r="D82" s="68"/>
      <c r="E82" s="36" t="s">
        <v>97</v>
      </c>
      <c r="F82" s="18">
        <v>6</v>
      </c>
      <c r="G82" s="37"/>
      <c r="H82" s="37"/>
      <c r="I82" s="37"/>
      <c r="J82" s="37"/>
      <c r="K82" s="37"/>
      <c r="L82" s="37">
        <f>IFERROR(L83*(1-($R$16*($F82-$U$16))),"DNM")</f>
        <v>45.831393872066784</v>
      </c>
      <c r="M82" s="37">
        <f>IFERROR(M83*(1-($R$16*($F82-$U$16))),"DNM")</f>
        <v>63.092190139089588</v>
      </c>
    </row>
    <row r="83" spans="2:13" ht="14">
      <c r="B83" s="81"/>
      <c r="C83" s="15" t="s">
        <v>96</v>
      </c>
      <c r="D83" s="68"/>
      <c r="E83" s="30" t="s">
        <v>98</v>
      </c>
      <c r="F83" s="31">
        <v>9</v>
      </c>
      <c r="G83" s="32"/>
      <c r="H83" s="33"/>
      <c r="I83" s="33"/>
      <c r="J83" s="33"/>
      <c r="K83" s="33"/>
      <c r="L83" s="33">
        <v>41.759812184115525</v>
      </c>
      <c r="M83" s="33">
        <v>57.487189192792343</v>
      </c>
    </row>
    <row r="84" spans="2:13" ht="14">
      <c r="B84" s="81"/>
      <c r="C84" s="15" t="s">
        <v>96</v>
      </c>
      <c r="D84" s="68"/>
      <c r="E84" s="70" t="s">
        <v>99</v>
      </c>
      <c r="F84" s="71">
        <v>9</v>
      </c>
      <c r="G84" s="72"/>
      <c r="H84" s="73"/>
      <c r="I84" s="73"/>
      <c r="J84" s="73"/>
      <c r="K84" s="73"/>
      <c r="L84" s="73">
        <f>L83</f>
        <v>41.759812184115525</v>
      </c>
      <c r="M84" s="73">
        <f>M83</f>
        <v>57.487189192792343</v>
      </c>
    </row>
    <row r="85" spans="2:13" ht="15" thickBot="1">
      <c r="B85" s="81"/>
      <c r="C85" s="15" t="s">
        <v>100</v>
      </c>
      <c r="D85" s="75" t="s">
        <v>101</v>
      </c>
      <c r="E85" s="75"/>
      <c r="F85" s="54">
        <v>12</v>
      </c>
      <c r="G85" s="56"/>
      <c r="H85" s="56"/>
      <c r="I85" s="56"/>
      <c r="J85" s="56">
        <v>39.154446813193545</v>
      </c>
      <c r="K85" s="56"/>
      <c r="L85" s="56">
        <v>51.503733345115045</v>
      </c>
      <c r="M85" s="56"/>
    </row>
    <row r="86" spans="2:13" ht="15" thickTop="1">
      <c r="B86" s="81"/>
      <c r="C86" s="15" t="s">
        <v>102</v>
      </c>
      <c r="E86" s="36" t="s">
        <v>103</v>
      </c>
      <c r="F86" s="18">
        <v>6</v>
      </c>
      <c r="G86" s="37"/>
      <c r="H86" s="37"/>
      <c r="I86" s="37"/>
      <c r="J86" s="37"/>
      <c r="K86" s="37">
        <f>IFERROR(K87*(1-($R$16*($F86-$U$16))),"DNM")</f>
        <v>44.51395692466911</v>
      </c>
      <c r="L86" s="37">
        <f>IFERROR(L87*(1-($R$16*($F86-$U$16))),"DNM")</f>
        <v>46.512644281829452</v>
      </c>
      <c r="M86" s="37">
        <f>IFERROR(M87*(1-($R$16*($F86-$U$16))),"DNM")</f>
        <v>76.921043018122802</v>
      </c>
    </row>
    <row r="87" spans="2:13" ht="14">
      <c r="B87" s="81"/>
      <c r="C87" s="15" t="s">
        <v>102</v>
      </c>
      <c r="E87" s="30" t="s">
        <v>104</v>
      </c>
      <c r="F87" s="31">
        <v>9</v>
      </c>
      <c r="G87" s="32"/>
      <c r="H87" s="33"/>
      <c r="I87" s="33"/>
      <c r="J87" s="33"/>
      <c r="K87" s="33">
        <v>40.559414054368212</v>
      </c>
      <c r="L87" s="33">
        <v>42.380541486860551</v>
      </c>
      <c r="M87" s="33">
        <v>70.087510722663154</v>
      </c>
    </row>
    <row r="88" spans="2:13" ht="15" thickBot="1">
      <c r="B88" s="81"/>
      <c r="C88" s="15" t="s">
        <v>102</v>
      </c>
      <c r="E88" s="76" t="s">
        <v>105</v>
      </c>
      <c r="F88" s="77">
        <v>9</v>
      </c>
      <c r="G88" s="78"/>
      <c r="H88" s="79"/>
      <c r="I88" s="79"/>
      <c r="J88" s="79"/>
      <c r="K88" s="79">
        <f>K87</f>
        <v>40.559414054368212</v>
      </c>
      <c r="L88" s="79">
        <f>L87</f>
        <v>42.380541486860551</v>
      </c>
      <c r="M88" s="79">
        <f>M87</f>
        <v>70.087510722663154</v>
      </c>
    </row>
    <row r="89" spans="2:13" ht="16" thickTop="1" thickBot="1">
      <c r="B89" s="81"/>
      <c r="C89" s="15" t="s">
        <v>106</v>
      </c>
      <c r="D89" s="75" t="s">
        <v>107</v>
      </c>
      <c r="E89" s="75"/>
      <c r="F89" s="54">
        <v>12</v>
      </c>
      <c r="G89" s="56"/>
      <c r="H89" s="56"/>
      <c r="I89" s="56"/>
      <c r="J89" s="56">
        <v>38.773182639161206</v>
      </c>
      <c r="K89" s="56">
        <v>47.312136841418031</v>
      </c>
      <c r="L89" s="56">
        <v>53.300738930087341</v>
      </c>
      <c r="M89" s="56"/>
    </row>
    <row r="90" spans="2:13" ht="14" thickTop="1"/>
    <row r="91" spans="2:13" ht="15">
      <c r="G91" s="82" t="s">
        <v>108</v>
      </c>
      <c r="H91" s="82"/>
      <c r="I91" s="82"/>
      <c r="J91" s="82"/>
      <c r="K91" s="82"/>
      <c r="L91" s="82"/>
      <c r="M91" s="82"/>
    </row>
    <row r="92" spans="2:13" ht="15" thickBot="1">
      <c r="G92" s="11" t="s">
        <v>15</v>
      </c>
      <c r="H92" s="11" t="s">
        <v>16</v>
      </c>
      <c r="I92" s="11" t="s">
        <v>17</v>
      </c>
      <c r="J92" s="11" t="s">
        <v>18</v>
      </c>
      <c r="K92" s="11" t="s">
        <v>19</v>
      </c>
      <c r="L92" s="11" t="s">
        <v>20</v>
      </c>
      <c r="M92" s="11" t="s">
        <v>21</v>
      </c>
    </row>
    <row r="93" spans="2:13" ht="15" thickTop="1">
      <c r="F93" s="83" t="s">
        <v>109</v>
      </c>
      <c r="G93" s="84">
        <v>202</v>
      </c>
      <c r="H93" s="84">
        <v>305</v>
      </c>
      <c r="I93" s="84">
        <v>444</v>
      </c>
      <c r="J93" s="84">
        <v>610</v>
      </c>
      <c r="K93" s="84">
        <v>817</v>
      </c>
      <c r="L93" s="84">
        <v>939</v>
      </c>
      <c r="M93" s="84">
        <v>2240</v>
      </c>
    </row>
    <row r="94" spans="2:13" ht="15" thickBot="1">
      <c r="F94" s="85" t="s">
        <v>7</v>
      </c>
      <c r="G94" s="86">
        <v>189</v>
      </c>
      <c r="H94" s="86">
        <v>293</v>
      </c>
      <c r="I94" s="86">
        <v>429</v>
      </c>
      <c r="J94" s="86">
        <v>585</v>
      </c>
      <c r="K94" s="86">
        <v>753</v>
      </c>
      <c r="L94" s="86">
        <v>876</v>
      </c>
      <c r="M94" s="86">
        <v>2089</v>
      </c>
    </row>
    <row r="95" spans="2:13" ht="15" thickTop="1">
      <c r="F95" s="87" t="s">
        <v>110</v>
      </c>
      <c r="G95" s="88">
        <f>(G93-G94)/G94</f>
        <v>6.8783068783068779E-2</v>
      </c>
      <c r="H95" s="88">
        <f t="shared" ref="H95:M95" si="16">(H93-H94)/H94</f>
        <v>4.0955631399317405E-2</v>
      </c>
      <c r="I95" s="88">
        <f t="shared" si="16"/>
        <v>3.4965034965034968E-2</v>
      </c>
      <c r="J95" s="88">
        <f t="shared" si="16"/>
        <v>4.2735042735042736E-2</v>
      </c>
      <c r="K95" s="88">
        <f t="shared" si="16"/>
        <v>8.4993359893758294E-2</v>
      </c>
      <c r="L95" s="88">
        <f t="shared" si="16"/>
        <v>7.1917808219178078E-2</v>
      </c>
      <c r="M95" s="88">
        <f t="shared" si="16"/>
        <v>7.2283389181426516E-2</v>
      </c>
    </row>
  </sheetData>
  <mergeCells count="8">
    <mergeCell ref="B47:B89"/>
    <mergeCell ref="G91:M91"/>
    <mergeCell ref="G1:M1"/>
    <mergeCell ref="V1:W1"/>
    <mergeCell ref="D2:E2"/>
    <mergeCell ref="G2:M2"/>
    <mergeCell ref="B4:B46"/>
    <mergeCell ref="V4:W4"/>
  </mergeCells>
  <phoneticPr fontId="2" type="noConversion"/>
  <conditionalFormatting sqref="Z4">
    <cfRule type="expression" dxfId="10" priority="3">
      <formula>LEN(TRIM(Z4))=0</formula>
    </cfRule>
    <cfRule type="cellIs" dxfId="9" priority="15" operator="greaterThan">
      <formula>$V$4</formula>
    </cfRule>
  </conditionalFormatting>
  <conditionalFormatting sqref="Z7">
    <cfRule type="expression" dxfId="8" priority="2">
      <formula>LEN(TRIM(Z7))=0</formula>
    </cfRule>
    <cfRule type="cellIs" dxfId="7" priority="6" operator="greaterThan">
      <formula>$W$7</formula>
    </cfRule>
    <cfRule type="expression" dxfId="6" priority="13">
      <formula>$R$22 = FALSE</formula>
    </cfRule>
    <cfRule type="cellIs" dxfId="5" priority="14" operator="greaterThan">
      <formula>$V$7</formula>
    </cfRule>
  </conditionalFormatting>
  <conditionalFormatting sqref="Z10">
    <cfRule type="expression" dxfId="4" priority="1">
      <formula>LEN(TRIM(Z10))=0</formula>
    </cfRule>
    <cfRule type="cellIs" dxfId="3" priority="4" operator="greaterThan">
      <formula>$W$10</formula>
    </cfRule>
    <cfRule type="expression" dxfId="2" priority="11">
      <formula>$R$22=FALSE</formula>
    </cfRule>
    <cfRule type="cellIs" dxfId="1" priority="12" operator="greaterThan">
      <formula>$V$10</formula>
    </cfRule>
  </conditionalFormatting>
  <conditionalFormatting sqref="Z14 AB14">
    <cfRule type="expression" dxfId="0" priority="16">
      <formula>LEN(TRIM(Z14))=0</formula>
    </cfRule>
  </conditionalFormatting>
  <dataValidations count="1">
    <dataValidation type="decimal" operator="greaterThanOrEqual" allowBlank="1" showInputMessage="1" showErrorMessage="1" sqref="R11">
      <formula1>0</formula1>
    </dataValidation>
  </dataValidations>
  <pageMargins left="0.75" right="0.75" top="1" bottom="1" header="0.5" footer="0.5"/>
  <pageSetup paperSize="0" orientation="portrait" horizontalDpi="4294967292" verticalDpi="4294967292"/>
  <drawing r:id="rId1"/>
  <legacyDrawing r:id="rId2"/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Working Traffic Inc.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</dc:creator>
  <cp:lastModifiedBy>Mark</cp:lastModifiedBy>
  <dcterms:created xsi:type="dcterms:W3CDTF">2015-08-03T18:39:36Z</dcterms:created>
  <dcterms:modified xsi:type="dcterms:W3CDTF">2015-08-03T18:40:35Z</dcterms:modified>
</cp:coreProperties>
</file>